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LC\VLC - Shared Restrictions\RFPs\Gaming System\2020 RFP\QUESTION RESPONSES\"/>
    </mc:Choice>
  </mc:AlternateContent>
  <xr:revisionPtr revIDLastSave="0" documentId="13_ncr:1_{A13C540D-A394-4573-9A81-2CACD340EDDD}" xr6:coauthVersionLast="40" xr6:coauthVersionMax="40" xr10:uidLastSave="{00000000-0000-0000-0000-000000000000}"/>
  <bookViews>
    <workbookView xWindow="0" yWindow="0" windowWidth="25200" windowHeight="11715" xr2:uid="{3DD076E8-364E-4372-B704-8D9AB6D530C2}"/>
  </bookViews>
  <sheets>
    <sheet name="2019" sheetId="1" r:id="rId1"/>
    <sheet name="FY18" sheetId="2" r:id="rId2"/>
  </sheets>
  <definedNames>
    <definedName name="_xlnm.Print_Area" localSheetId="0">'2019'!$A$1:$L$61</definedName>
    <definedName name="_xlnm.Print_Area" localSheetId="1">'FY18'!$A$1:$L$61</definedName>
    <definedName name="_xlnm.Print_Titles" localSheetId="0">'2019'!$1:$1</definedName>
    <definedName name="_xlnm.Print_Titles" localSheetId="1">'FY18'!$1:$1</definedName>
    <definedName name="recycle" localSheetId="0">'2019'!#REF!</definedName>
    <definedName name="recycle" localSheetId="1">'FY18'!#REF!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1" i="2" l="1"/>
  <c r="M61" i="2"/>
  <c r="N60" i="2"/>
  <c r="M60" i="2"/>
  <c r="N59" i="2"/>
  <c r="M59" i="2"/>
  <c r="N58" i="2"/>
  <c r="M58" i="2"/>
  <c r="N57" i="2"/>
  <c r="M57" i="2"/>
  <c r="M56" i="2"/>
  <c r="N55" i="2"/>
  <c r="M55" i="2"/>
  <c r="N54" i="2"/>
  <c r="M54" i="2"/>
  <c r="N53" i="2"/>
  <c r="M53" i="2"/>
  <c r="C53" i="2" s="1"/>
  <c r="N52" i="2"/>
  <c r="M52" i="2"/>
  <c r="N51" i="2"/>
  <c r="M51" i="2"/>
  <c r="N50" i="2"/>
  <c r="M50" i="2"/>
  <c r="N49" i="2"/>
  <c r="M49" i="2"/>
  <c r="C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C18" i="2" s="1"/>
  <c r="M18" i="2"/>
  <c r="N17" i="2"/>
  <c r="M17" i="2"/>
  <c r="N16" i="2"/>
  <c r="M16" i="2"/>
  <c r="N15" i="2"/>
  <c r="M15" i="2"/>
  <c r="N14" i="2"/>
  <c r="M14" i="2"/>
  <c r="C14" i="2" s="1"/>
  <c r="N13" i="2"/>
  <c r="M13" i="2"/>
  <c r="C13" i="2" s="1"/>
  <c r="N12" i="2"/>
  <c r="M12" i="2"/>
  <c r="N11" i="2"/>
  <c r="M11" i="2"/>
  <c r="N10" i="2"/>
  <c r="M10" i="2"/>
  <c r="N9" i="2"/>
  <c r="M9" i="2"/>
  <c r="N8" i="2"/>
  <c r="M8" i="2"/>
  <c r="N7" i="2"/>
  <c r="M7" i="2"/>
  <c r="C7" i="2" s="1"/>
  <c r="N6" i="2"/>
  <c r="L6" i="2"/>
  <c r="N5" i="2"/>
  <c r="M5" i="2"/>
  <c r="N4" i="2"/>
  <c r="L4" i="2"/>
  <c r="M3" i="2"/>
  <c r="M2" i="2"/>
  <c r="M53" i="1"/>
  <c r="N53" i="1" s="1"/>
  <c r="M61" i="1"/>
  <c r="N61" i="1" s="1"/>
  <c r="M60" i="1"/>
  <c r="N60" i="1" s="1"/>
  <c r="M59" i="1"/>
  <c r="N59" i="1" s="1"/>
  <c r="M56" i="1"/>
  <c r="N56" i="1" s="1"/>
  <c r="M50" i="1"/>
  <c r="M58" i="1"/>
  <c r="N58" i="1" s="1"/>
  <c r="M55" i="1"/>
  <c r="N55" i="1" s="1"/>
  <c r="N49" i="1"/>
  <c r="M49" i="1"/>
  <c r="M57" i="1"/>
  <c r="M52" i="1"/>
  <c r="M48" i="1"/>
  <c r="N47" i="1"/>
  <c r="M47" i="1"/>
  <c r="M54" i="1"/>
  <c r="M43" i="1"/>
  <c r="C43" i="1" s="1"/>
  <c r="M51" i="1"/>
  <c r="N44" i="1"/>
  <c r="M44" i="1"/>
  <c r="N46" i="1"/>
  <c r="M46" i="1"/>
  <c r="N45" i="1"/>
  <c r="M45" i="1"/>
  <c r="M42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M8" i="1"/>
  <c r="N7" i="1"/>
  <c r="M7" i="1"/>
  <c r="N6" i="1"/>
  <c r="M6" i="1"/>
  <c r="N5" i="1"/>
  <c r="M5" i="1"/>
  <c r="N4" i="1"/>
  <c r="M4" i="1"/>
  <c r="N3" i="1"/>
  <c r="M3" i="1"/>
  <c r="N2" i="1"/>
  <c r="M2" i="1"/>
  <c r="C24" i="1" l="1"/>
  <c r="C32" i="1"/>
  <c r="C27" i="1"/>
  <c r="C25" i="1"/>
  <c r="C12" i="2"/>
  <c r="C31" i="2"/>
  <c r="C47" i="2"/>
  <c r="C55" i="2"/>
  <c r="C19" i="2"/>
  <c r="C35" i="2"/>
  <c r="C43" i="2"/>
  <c r="C45" i="2"/>
  <c r="C5" i="2"/>
  <c r="C51" i="2"/>
  <c r="C39" i="2"/>
  <c r="C10" i="2"/>
  <c r="C23" i="2"/>
  <c r="C27" i="2"/>
  <c r="C37" i="2"/>
  <c r="C34" i="2"/>
  <c r="M4" i="2"/>
  <c r="C59" i="2"/>
  <c r="C41" i="2"/>
  <c r="C8" i="2"/>
  <c r="C15" i="2"/>
  <c r="C30" i="2"/>
  <c r="C2" i="2"/>
  <c r="C11" i="2"/>
  <c r="C22" i="2"/>
  <c r="C26" i="2"/>
  <c r="C13" i="1"/>
  <c r="C17" i="1"/>
  <c r="C21" i="1"/>
  <c r="C29" i="1"/>
  <c r="C33" i="1"/>
  <c r="C37" i="1"/>
  <c r="C39" i="1"/>
  <c r="C40" i="1"/>
  <c r="C16" i="1"/>
  <c r="C28" i="1"/>
  <c r="C45" i="1"/>
  <c r="C20" i="1"/>
  <c r="C7" i="1"/>
  <c r="C10" i="1"/>
  <c r="C18" i="1"/>
  <c r="C5" i="1"/>
  <c r="C12" i="1"/>
  <c r="C34" i="1"/>
  <c r="C38" i="1"/>
  <c r="C46" i="1"/>
  <c r="C44" i="1"/>
  <c r="C47" i="1"/>
  <c r="C49" i="1"/>
  <c r="C2" i="1"/>
  <c r="C4" i="1"/>
  <c r="C9" i="1"/>
  <c r="C11" i="1"/>
  <c r="C19" i="1"/>
  <c r="C23" i="1"/>
  <c r="C36" i="1"/>
  <c r="C8" i="1"/>
  <c r="N51" i="1"/>
  <c r="C35" i="1"/>
  <c r="C31" i="1"/>
  <c r="C15" i="1"/>
  <c r="C3" i="1"/>
  <c r="C30" i="1"/>
  <c r="C26" i="1"/>
  <c r="C22" i="1"/>
  <c r="C14" i="1"/>
  <c r="C6" i="1"/>
  <c r="N54" i="1"/>
  <c r="N50" i="1"/>
  <c r="M6" i="2"/>
  <c r="C9" i="2"/>
  <c r="C16" i="2"/>
  <c r="N41" i="1"/>
  <c r="N42" i="1"/>
  <c r="N48" i="1"/>
  <c r="N52" i="1"/>
  <c r="N57" i="1"/>
  <c r="C3" i="2"/>
  <c r="C21" i="2"/>
  <c r="C36" i="2"/>
  <c r="C29" i="2"/>
  <c r="C33" i="2"/>
  <c r="C25" i="2"/>
  <c r="C58" i="2"/>
  <c r="C17" i="2"/>
  <c r="C20" i="2"/>
  <c r="C46" i="2"/>
  <c r="C54" i="2"/>
  <c r="C57" i="2"/>
  <c r="C60" i="2"/>
  <c r="C24" i="2"/>
  <c r="C28" i="2"/>
  <c r="C32" i="2"/>
  <c r="C40" i="2"/>
  <c r="C42" i="2"/>
  <c r="C52" i="2"/>
  <c r="C56" i="2"/>
  <c r="C38" i="2"/>
  <c r="C44" i="2"/>
  <c r="C48" i="2"/>
  <c r="C50" i="2"/>
  <c r="C61" i="2"/>
  <c r="C4" i="2" l="1"/>
  <c r="C6" i="2"/>
</calcChain>
</file>

<file path=xl/sharedStrings.xml><?xml version="1.0" encoding="utf-8"?>
<sst xmlns="http://schemas.openxmlformats.org/spreadsheetml/2006/main" count="516" uniqueCount="265">
  <si>
    <t>Game
 Del. Date</t>
  </si>
  <si>
    <t>Game
#</t>
  </si>
  <si>
    <t>Prize
Payout</t>
  </si>
  <si>
    <t>Game
Theme</t>
  </si>
  <si>
    <t>Ticket
Price</t>
  </si>
  <si>
    <t>Game Name</t>
  </si>
  <si>
    <t>Ticket
Color</t>
  </si>
  <si>
    <t>Game
Released</t>
  </si>
  <si>
    <t>Game
End Date</t>
  </si>
  <si>
    <t>Play
Method</t>
  </si>
  <si>
    <t>Top
Prize</t>
  </si>
  <si>
    <t>Game
Size</t>
  </si>
  <si>
    <t>Possible
Sales</t>
  </si>
  <si>
    <t>Prize
Money</t>
  </si>
  <si>
    <t>Money</t>
  </si>
  <si>
    <t>Cash Vault</t>
  </si>
  <si>
    <t>gry/blk</t>
  </si>
  <si>
    <t>KM +</t>
  </si>
  <si>
    <t>Casino</t>
  </si>
  <si>
    <t>Casino Cash</t>
  </si>
  <si>
    <t>dark purple</t>
  </si>
  <si>
    <t>multi</t>
  </si>
  <si>
    <t>Double Your Money</t>
  </si>
  <si>
    <t>yellow/blu</t>
  </si>
  <si>
    <t>Platinum Payout</t>
  </si>
  <si>
    <t>slvr/blue</t>
  </si>
  <si>
    <t>KM, bonus</t>
  </si>
  <si>
    <t>$1,000 Bankroll</t>
  </si>
  <si>
    <t>blue/maroon</t>
  </si>
  <si>
    <t>KM +, reveal</t>
  </si>
  <si>
    <t>Animal</t>
  </si>
  <si>
    <t>Chimp Change</t>
  </si>
  <si>
    <t>blue/red/ylw</t>
  </si>
  <si>
    <t>M3 +</t>
  </si>
  <si>
    <t>Cards</t>
  </si>
  <si>
    <t>gold/maroon</t>
  </si>
  <si>
    <t>x vs y,reveal</t>
  </si>
  <si>
    <t>Licensed</t>
  </si>
  <si>
    <t>Patriots</t>
  </si>
  <si>
    <t>blu/red/gry</t>
  </si>
  <si>
    <t>Numbers</t>
  </si>
  <si>
    <t>Super Triple 777</t>
  </si>
  <si>
    <t>black/multi</t>
  </si>
  <si>
    <t>reveal+</t>
  </si>
  <si>
    <t>Buck Buck Moose</t>
  </si>
  <si>
    <t>green/brwn</t>
  </si>
  <si>
    <t>It Takes 2</t>
  </si>
  <si>
    <t xml:space="preserve">pink  </t>
  </si>
  <si>
    <t>Crossword</t>
  </si>
  <si>
    <t>Bonus Cashword</t>
  </si>
  <si>
    <t>grn/blu/wht</t>
  </si>
  <si>
    <t>crossword</t>
  </si>
  <si>
    <t>Whitetail Cash</t>
  </si>
  <si>
    <t>Xtreme Cash</t>
  </si>
  <si>
    <t>grey/green</t>
  </si>
  <si>
    <t>KM+, reveal</t>
  </si>
  <si>
    <t>Hot 5s</t>
  </si>
  <si>
    <t>yellow/red</t>
  </si>
  <si>
    <t xml:space="preserve">Reveal </t>
  </si>
  <si>
    <t>$50,000 Riches</t>
  </si>
  <si>
    <t>silver/red</t>
  </si>
  <si>
    <t>KM/Revel,M2</t>
  </si>
  <si>
    <t>VIP</t>
  </si>
  <si>
    <t>blk/maron/slv</t>
  </si>
  <si>
    <t>Seasonal</t>
  </si>
  <si>
    <t>Bee Merry</t>
  </si>
  <si>
    <t>red/green</t>
  </si>
  <si>
    <t>Holiday Fun</t>
  </si>
  <si>
    <t>wht/red/grn</t>
  </si>
  <si>
    <t>Legend</t>
  </si>
  <si>
    <t>Oh What Fun Cashword</t>
  </si>
  <si>
    <t>blue/green</t>
  </si>
  <si>
    <t>Holiday Tree</t>
  </si>
  <si>
    <t>green</t>
  </si>
  <si>
    <t>Happy Holidays</t>
  </si>
  <si>
    <t>red/blk</t>
  </si>
  <si>
    <t>Winter Cash</t>
  </si>
  <si>
    <t xml:space="preserve">blue/red  </t>
  </si>
  <si>
    <t>Extended</t>
  </si>
  <si>
    <t>Lucky Lines</t>
  </si>
  <si>
    <t>pink/multi</t>
  </si>
  <si>
    <t>extended play</t>
  </si>
  <si>
    <t>802 Doubler</t>
  </si>
  <si>
    <t>orange/green</t>
  </si>
  <si>
    <t>Hit It Big</t>
  </si>
  <si>
    <t xml:space="preserve">green </t>
  </si>
  <si>
    <t>Wise Winter Winnings</t>
  </si>
  <si>
    <t>blue</t>
  </si>
  <si>
    <t>Reveal</t>
  </si>
  <si>
    <t>Snowfall Fun</t>
  </si>
  <si>
    <t>Frogger</t>
  </si>
  <si>
    <t>Cash Flurries</t>
  </si>
  <si>
    <t>Big Money</t>
  </si>
  <si>
    <t>blue/gold</t>
  </si>
  <si>
    <t>Queen's Quest</t>
  </si>
  <si>
    <t>Joker's Jest</t>
  </si>
  <si>
    <t>grn/prple</t>
  </si>
  <si>
    <t>Ace In The Hole</t>
  </si>
  <si>
    <t>gry/rd/blk/ylw</t>
  </si>
  <si>
    <t>x beats y +</t>
  </si>
  <si>
    <t>Happy Happy Cashword</t>
  </si>
  <si>
    <t>grn/pnk/blu</t>
  </si>
  <si>
    <t>Wild Cherries</t>
  </si>
  <si>
    <t>white/red</t>
  </si>
  <si>
    <t>Reveal +</t>
  </si>
  <si>
    <t>High Roller</t>
  </si>
  <si>
    <t>yellow/neon</t>
  </si>
  <si>
    <t xml:space="preserve">Money  </t>
  </si>
  <si>
    <t>purple/green</t>
  </si>
  <si>
    <t>$10,000 Spectacular</t>
  </si>
  <si>
    <t>blue/pink</t>
  </si>
  <si>
    <t>$25 Grand</t>
  </si>
  <si>
    <t>Tiger's Share</t>
  </si>
  <si>
    <t>gold/red</t>
  </si>
  <si>
    <t>Triple 333</t>
  </si>
  <si>
    <t>purple/ylw</t>
  </si>
  <si>
    <t>Mar '19</t>
  </si>
  <si>
    <t>Bingo</t>
  </si>
  <si>
    <t>Bingo Squared</t>
  </si>
  <si>
    <t>red/blu/grn</t>
  </si>
  <si>
    <t>bingo</t>
  </si>
  <si>
    <t>Gems</t>
  </si>
  <si>
    <t>Diamonds</t>
  </si>
  <si>
    <t xml:space="preserve">grey  </t>
  </si>
  <si>
    <t>Cash Words</t>
  </si>
  <si>
    <t>pnk/blu/grn</t>
  </si>
  <si>
    <t>Win Either $50 or $100</t>
  </si>
  <si>
    <t>blue/gld/rd</t>
  </si>
  <si>
    <t>Apr '19</t>
  </si>
  <si>
    <t>Wild $10</t>
  </si>
  <si>
    <t>grn/ylw/org</t>
  </si>
  <si>
    <t>Winning Streak</t>
  </si>
  <si>
    <t>pink</t>
  </si>
  <si>
    <t>Great 8s</t>
  </si>
  <si>
    <t>Emerald Riches</t>
  </si>
  <si>
    <t>green/gold</t>
  </si>
  <si>
    <t>Silver &amp; Gold</t>
  </si>
  <si>
    <t>silver/gold</t>
  </si>
  <si>
    <t>Luck</t>
  </si>
  <si>
    <t>Lucky Symbols</t>
  </si>
  <si>
    <t>green/yellow</t>
  </si>
  <si>
    <t>Tic Tac Go</t>
  </si>
  <si>
    <t>gry/blu/grn</t>
  </si>
  <si>
    <t>Line up+</t>
  </si>
  <si>
    <t>Cash on the Spot</t>
  </si>
  <si>
    <t>pink/blue</t>
  </si>
  <si>
    <t>5 Grand</t>
  </si>
  <si>
    <t>blk/rd/grn</t>
  </si>
  <si>
    <t>Money Bag Multiplier</t>
  </si>
  <si>
    <t>Jun '19</t>
  </si>
  <si>
    <t>Happy Go Lucky Cashword</t>
  </si>
  <si>
    <t>May '19</t>
  </si>
  <si>
    <t>20X The Money</t>
  </si>
  <si>
    <t>Hit The Jackpot</t>
  </si>
  <si>
    <t>Extreme Winnings</t>
  </si>
  <si>
    <t>Anniv.</t>
  </si>
  <si>
    <t>40th Anniversary</t>
  </si>
  <si>
    <t>blu/red</t>
  </si>
  <si>
    <t>Win Big</t>
  </si>
  <si>
    <t>Triple Black 777</t>
  </si>
  <si>
    <t>black/silver</t>
  </si>
  <si>
    <t>reveal</t>
  </si>
  <si>
    <t>Vermont Cashword</t>
  </si>
  <si>
    <t>grn/org/blu</t>
  </si>
  <si>
    <t>Crown Jewels</t>
  </si>
  <si>
    <t>brn/multi</t>
  </si>
  <si>
    <t>legend</t>
  </si>
  <si>
    <t>Neon 7s</t>
  </si>
  <si>
    <t>red/yellow</t>
  </si>
  <si>
    <t>Line up +</t>
  </si>
  <si>
    <t>Mega Bonus</t>
  </si>
  <si>
    <t>grn/blu/ylw</t>
  </si>
  <si>
    <t>KM +, M2</t>
  </si>
  <si>
    <t>M3+</t>
  </si>
  <si>
    <t>Red Hot Winnings</t>
  </si>
  <si>
    <t>red/org/blk</t>
  </si>
  <si>
    <t>Blast Into Cash</t>
  </si>
  <si>
    <t>dark blue</t>
  </si>
  <si>
    <t>Gold Rush</t>
  </si>
  <si>
    <t>purple/gold</t>
  </si>
  <si>
    <t>10 Large</t>
  </si>
  <si>
    <t>green/blk</t>
  </si>
  <si>
    <t>It’s a Dog's Life/It's a Cat's World</t>
  </si>
  <si>
    <t>white/blue</t>
  </si>
  <si>
    <t xml:space="preserve">Power 5s </t>
  </si>
  <si>
    <t>blue/yellow</t>
  </si>
  <si>
    <t>Reveal, M2</t>
  </si>
  <si>
    <t>$123,456 Spectacular</t>
  </si>
  <si>
    <t>blue/grey</t>
  </si>
  <si>
    <t>Tis The Season</t>
  </si>
  <si>
    <t>Jolly Jackpot</t>
  </si>
  <si>
    <t>M3</t>
  </si>
  <si>
    <t>Peng-Win Cashword</t>
  </si>
  <si>
    <t>Holiday Wishes</t>
  </si>
  <si>
    <t>red/white</t>
  </si>
  <si>
    <t>Winter Gold</t>
  </si>
  <si>
    <t>blu/gld/wht</t>
  </si>
  <si>
    <t>Let It Snow</t>
  </si>
  <si>
    <t>blue/white</t>
  </si>
  <si>
    <t>Old Man Winter</t>
  </si>
  <si>
    <t>KM, reveal</t>
  </si>
  <si>
    <t>Cabin Fever</t>
  </si>
  <si>
    <t>dk bl/gold</t>
  </si>
  <si>
    <t>yellow/green</t>
  </si>
  <si>
    <t>Money Bag Cashword</t>
  </si>
  <si>
    <t>grn/ylw/blu</t>
  </si>
  <si>
    <t>Aces</t>
  </si>
  <si>
    <t>blk/red</t>
  </si>
  <si>
    <t>Amazing 8s</t>
  </si>
  <si>
    <t>purple/multi</t>
  </si>
  <si>
    <t>$50,000 Cash</t>
  </si>
  <si>
    <t>blu/grn</t>
  </si>
  <si>
    <t>Lucky Slug</t>
  </si>
  <si>
    <t>green/blu</t>
  </si>
  <si>
    <t>Tap Into Cash</t>
  </si>
  <si>
    <t>gry/brn/gld</t>
  </si>
  <si>
    <t>reveal +</t>
  </si>
  <si>
    <t>Hearts</t>
  </si>
  <si>
    <t>M3, reveal</t>
  </si>
  <si>
    <t>Cashingo</t>
  </si>
  <si>
    <t>prpl/pnk/ylw</t>
  </si>
  <si>
    <t>Bingo/Xword</t>
  </si>
  <si>
    <t>Lady Luck</t>
  </si>
  <si>
    <t>Vermont Lottery Black</t>
  </si>
  <si>
    <t>3 of a Kind</t>
  </si>
  <si>
    <t>Double Diamond</t>
  </si>
  <si>
    <t>cream/red/blk</t>
  </si>
  <si>
    <t>Cash Is King</t>
  </si>
  <si>
    <t>Game</t>
  </si>
  <si>
    <t>Triple Your Luck</t>
  </si>
  <si>
    <t>Winning Star</t>
  </si>
  <si>
    <t xml:space="preserve">Reveal  </t>
  </si>
  <si>
    <t>Lucky 13</t>
  </si>
  <si>
    <t>reveal,add up</t>
  </si>
  <si>
    <t>Tripling Cashword</t>
  </si>
  <si>
    <t>blk/ylw</t>
  </si>
  <si>
    <t>$10,000 Taxes Paid</t>
  </si>
  <si>
    <t>grey</t>
  </si>
  <si>
    <t>$500 Fever</t>
  </si>
  <si>
    <t>purple</t>
  </si>
  <si>
    <t>I Heart Cash</t>
  </si>
  <si>
    <t>blk/wht/red</t>
  </si>
  <si>
    <t>Double Match</t>
  </si>
  <si>
    <t>red/grn/ylw</t>
  </si>
  <si>
    <t>KM/M3</t>
  </si>
  <si>
    <t>Mission: Money</t>
  </si>
  <si>
    <t>blk/org</t>
  </si>
  <si>
    <t>Ruby Red 7s</t>
  </si>
  <si>
    <t>red</t>
  </si>
  <si>
    <t>Money Mania</t>
  </si>
  <si>
    <t>Money Tree</t>
  </si>
  <si>
    <t>grn/ylw/wht</t>
  </si>
  <si>
    <t>Ms. Pac-Man</t>
  </si>
  <si>
    <t>blu/blk</t>
  </si>
  <si>
    <t>maze</t>
  </si>
  <si>
    <t>Did I Win?</t>
  </si>
  <si>
    <t>wht/grn/red</t>
  </si>
  <si>
    <t>KM</t>
  </si>
  <si>
    <t>Block Buster Cashword</t>
  </si>
  <si>
    <t>red/blu</t>
  </si>
  <si>
    <t>Super Coolest Cashword</t>
  </si>
  <si>
    <t>Lucky Break</t>
  </si>
  <si>
    <t>Cash Explosion</t>
  </si>
  <si>
    <t>50X The Money</t>
  </si>
  <si>
    <t>silver/black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</si>
</sst>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dd\-mmm\-yy"/>
  </numFmts>
  <fonts count="5" x14ac:knownFonts="1">
    <font>
      <sz val="12"/>
      <name val="Arial"/>
    </font>
    <font>
      <b/>
      <sz val="12"/>
      <name val="Univers"/>
      <family val="2"/>
    </font>
    <font>
      <sz val="12"/>
      <name val="Arial"/>
      <family val="2"/>
    </font>
    <font>
      <sz val="12"/>
      <name val="Univers"/>
      <family val="2"/>
    </font>
    <font>
      <sz val="12"/>
      <color theme="9" tint="-0.249977111117893"/>
      <name val="Univers"/>
      <family val="2"/>
    </font>
  </fonts>
  <fills count="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2">
    <xf numFmtId="0" fontId="0" fillId="0" borderId="0" xfId="0"/>
    <xf numFmtId="1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9" fontId="1" fillId="0" borderId="1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3" fillId="0" borderId="0" xfId="0" applyFont="1" applyAlignment="1"/>
    <xf numFmtId="165" fontId="3" fillId="0" borderId="4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0" fontId="3" fillId="0" borderId="4" xfId="1" applyNumberFormat="1" applyFont="1" applyBorder="1" applyAlignment="1">
      <alignment horizontal="center"/>
    </xf>
    <xf numFmtId="9" fontId="3" fillId="0" borderId="4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/>
    <xf numFmtId="164" fontId="3" fillId="0" borderId="5" xfId="0" applyNumberFormat="1" applyFont="1" applyFill="1" applyBorder="1" applyAlignment="1"/>
    <xf numFmtId="164" fontId="3" fillId="0" borderId="4" xfId="0" applyNumberFormat="1" applyFont="1" applyBorder="1" applyAlignment="1">
      <alignment horizontal="center"/>
    </xf>
    <xf numFmtId="0" fontId="3" fillId="0" borderId="0" xfId="0" applyFont="1" applyFill="1" applyAlignment="1"/>
    <xf numFmtId="0" fontId="3" fillId="2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164" fontId="3" fillId="0" borderId="4" xfId="0" applyNumberFormat="1" applyFont="1" applyFill="1" applyBorder="1" applyAlignment="1"/>
    <xf numFmtId="0" fontId="3" fillId="4" borderId="4" xfId="0" applyFont="1" applyFill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9" fontId="3" fillId="0" borderId="4" xfId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/>
    <xf numFmtId="2" fontId="3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Alignment="1"/>
  </cellXfs>
  <cellStyles count="2">
    <cellStyle name="Normal" xfId="0" builtinId="0"/>
    <cellStyle name="Percent" xfId="1" builtinId="5"/>
  </cellStyles>
  <dxfs count="72"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auto="1"/>
      </font>
      <fill>
        <patternFill>
          <bgColor indexed="15"/>
        </patternFill>
      </fill>
    </dxf>
    <dxf>
      <font>
        <condense val="0"/>
        <extend val="0"/>
        <color auto="1"/>
      </font>
      <fill>
        <patternFill>
          <bgColor rgb="FFFF7C8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8C4B9-CB74-4CFE-963D-0B8BC7112E3E}">
  <sheetPr>
    <pageSetUpPr fitToPage="1"/>
  </sheetPr>
  <dimension ref="A1:AL65"/>
  <sheetViews>
    <sheetView tabSelected="1" zoomScale="80" zoomScaleNormal="80" workbookViewId="0">
      <selection activeCell="G2" sqref="G2"/>
    </sheetView>
  </sheetViews>
  <sheetFormatPr defaultColWidth="8.88671875" defaultRowHeight="15.75" x14ac:dyDescent="0.25"/>
  <cols>
    <col min="1" max="1" width="10.44140625" style="37" customWidth="1"/>
    <col min="2" max="2" width="6.44140625" style="10" customWidth="1"/>
    <col min="3" max="4" width="8.6640625" style="32" customWidth="1"/>
    <col min="5" max="5" width="6.44140625" style="22" customWidth="1"/>
    <col min="6" max="6" width="25.6640625" style="10" customWidth="1"/>
    <col min="7" max="7" width="11.6640625" style="33" customWidth="1"/>
    <col min="8" max="8" width="14.21875" style="10" customWidth="1"/>
    <col min="9" max="9" width="10" style="10" customWidth="1"/>
    <col min="10" max="10" width="12.21875" style="33" customWidth="1"/>
    <col min="11" max="11" width="11.88671875" style="34" customWidth="1"/>
    <col min="12" max="12" width="7.6640625" style="36" customWidth="1"/>
    <col min="13" max="13" width="14.21875" style="35" customWidth="1"/>
    <col min="14" max="14" width="12.88671875" style="35" customWidth="1"/>
    <col min="15" max="16384" width="8.88671875" style="10"/>
  </cols>
  <sheetData>
    <row r="1" spans="1:14" ht="32.2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1" t="s">
        <v>7</v>
      </c>
      <c r="I1" s="1" t="s">
        <v>8</v>
      </c>
      <c r="J1" s="7" t="s">
        <v>9</v>
      </c>
      <c r="K1" s="8" t="s">
        <v>10</v>
      </c>
      <c r="L1" s="9" t="s">
        <v>11</v>
      </c>
      <c r="M1" s="8" t="s">
        <v>12</v>
      </c>
      <c r="N1" s="8" t="s">
        <v>13</v>
      </c>
    </row>
    <row r="2" spans="1:14" s="22" customFormat="1" x14ac:dyDescent="0.25">
      <c r="A2" s="11">
        <v>43123</v>
      </c>
      <c r="B2" s="12">
        <v>1409</v>
      </c>
      <c r="C2" s="13">
        <f t="shared" ref="C2:C40" si="0">+N2/M2</f>
        <v>0.63945490196078436</v>
      </c>
      <c r="D2" s="14" t="s">
        <v>14</v>
      </c>
      <c r="E2" s="15">
        <v>2</v>
      </c>
      <c r="F2" s="15" t="s">
        <v>15</v>
      </c>
      <c r="G2" s="15" t="s">
        <v>16</v>
      </c>
      <c r="H2" s="16">
        <v>43287</v>
      </c>
      <c r="I2" s="11"/>
      <c r="J2" s="15" t="s">
        <v>17</v>
      </c>
      <c r="K2" s="17">
        <v>5000</v>
      </c>
      <c r="L2" s="18">
        <v>0.51</v>
      </c>
      <c r="M2" s="19">
        <f t="shared" ref="M2:M33" si="1">(L2*1000000)*E2</f>
        <v>1020000</v>
      </c>
      <c r="N2" s="20">
        <f>647244+5000</f>
        <v>652244</v>
      </c>
    </row>
    <row r="3" spans="1:14" s="22" customFormat="1" x14ac:dyDescent="0.25">
      <c r="A3" s="11">
        <v>43158</v>
      </c>
      <c r="B3" s="12">
        <v>1452</v>
      </c>
      <c r="C3" s="13">
        <f t="shared" si="0"/>
        <v>0.69077834179357023</v>
      </c>
      <c r="D3" s="14" t="s">
        <v>18</v>
      </c>
      <c r="E3" s="15">
        <v>5</v>
      </c>
      <c r="F3" s="15" t="s">
        <v>19</v>
      </c>
      <c r="G3" s="15" t="s">
        <v>20</v>
      </c>
      <c r="H3" s="16">
        <v>43287</v>
      </c>
      <c r="I3" s="11"/>
      <c r="J3" s="15" t="s">
        <v>21</v>
      </c>
      <c r="K3" s="17">
        <v>25000</v>
      </c>
      <c r="L3" s="18">
        <v>0.35460000000000003</v>
      </c>
      <c r="M3" s="19">
        <f t="shared" si="1"/>
        <v>1773000</v>
      </c>
      <c r="N3" s="20">
        <f>1199750+25000</f>
        <v>1224750</v>
      </c>
    </row>
    <row r="4" spans="1:14" s="22" customFormat="1" x14ac:dyDescent="0.25">
      <c r="A4" s="11">
        <v>43214</v>
      </c>
      <c r="B4" s="12">
        <v>1460</v>
      </c>
      <c r="C4" s="13">
        <f t="shared" si="0"/>
        <v>0.68932189542483657</v>
      </c>
      <c r="D4" s="14" t="s">
        <v>14</v>
      </c>
      <c r="E4" s="15">
        <v>5</v>
      </c>
      <c r="F4" s="15" t="s">
        <v>22</v>
      </c>
      <c r="G4" s="15" t="s">
        <v>23</v>
      </c>
      <c r="H4" s="16">
        <v>43287</v>
      </c>
      <c r="I4" s="11"/>
      <c r="J4" s="15" t="s">
        <v>21</v>
      </c>
      <c r="K4" s="17">
        <v>15000</v>
      </c>
      <c r="L4" s="18">
        <v>0.36720000000000003</v>
      </c>
      <c r="M4" s="19">
        <f t="shared" si="1"/>
        <v>1836000</v>
      </c>
      <c r="N4" s="20">
        <f>1250595+15000</f>
        <v>1265595</v>
      </c>
    </row>
    <row r="5" spans="1:14" s="22" customFormat="1" x14ac:dyDescent="0.25">
      <c r="A5" s="11">
        <v>43245</v>
      </c>
      <c r="B5" s="12">
        <v>1463</v>
      </c>
      <c r="C5" s="13">
        <f t="shared" si="0"/>
        <v>0.68944716775599124</v>
      </c>
      <c r="D5" s="14" t="s">
        <v>14</v>
      </c>
      <c r="E5" s="15">
        <v>5</v>
      </c>
      <c r="F5" s="15" t="s">
        <v>24</v>
      </c>
      <c r="G5" s="15" t="s">
        <v>25</v>
      </c>
      <c r="H5" s="16">
        <v>43287</v>
      </c>
      <c r="I5" s="11"/>
      <c r="J5" s="15" t="s">
        <v>26</v>
      </c>
      <c r="K5" s="17">
        <v>25000</v>
      </c>
      <c r="L5" s="18">
        <v>0.36720000000000003</v>
      </c>
      <c r="M5" s="19">
        <f t="shared" si="1"/>
        <v>1836000</v>
      </c>
      <c r="N5" s="20">
        <f>1240825+25000</f>
        <v>1265825</v>
      </c>
    </row>
    <row r="6" spans="1:14" s="22" customFormat="1" x14ac:dyDescent="0.25">
      <c r="A6" s="11">
        <v>43067</v>
      </c>
      <c r="B6" s="12">
        <v>1426</v>
      </c>
      <c r="C6" s="13">
        <f t="shared" si="0"/>
        <v>0.70090236094437774</v>
      </c>
      <c r="D6" s="14" t="s">
        <v>14</v>
      </c>
      <c r="E6" s="23">
        <v>10</v>
      </c>
      <c r="F6" s="15" t="s">
        <v>27</v>
      </c>
      <c r="G6" s="15" t="s">
        <v>28</v>
      </c>
      <c r="H6" s="16">
        <v>43287</v>
      </c>
      <c r="I6" s="11"/>
      <c r="J6" s="15" t="s">
        <v>29</v>
      </c>
      <c r="K6" s="17">
        <v>1000</v>
      </c>
      <c r="L6" s="18">
        <v>0.24990000000000001</v>
      </c>
      <c r="M6" s="19">
        <f t="shared" si="1"/>
        <v>2499000</v>
      </c>
      <c r="N6" s="20">
        <f>1750555+1000</f>
        <v>1751555</v>
      </c>
    </row>
    <row r="7" spans="1:14" s="22" customFormat="1" x14ac:dyDescent="0.25">
      <c r="A7" s="11">
        <v>43097</v>
      </c>
      <c r="B7" s="12">
        <v>1406</v>
      </c>
      <c r="C7" s="13">
        <f t="shared" si="0"/>
        <v>0.62093790849673203</v>
      </c>
      <c r="D7" s="14" t="s">
        <v>30</v>
      </c>
      <c r="E7" s="15">
        <v>1</v>
      </c>
      <c r="F7" s="15" t="s">
        <v>31</v>
      </c>
      <c r="G7" s="15" t="s">
        <v>32</v>
      </c>
      <c r="H7" s="16">
        <v>43315</v>
      </c>
      <c r="I7" s="11"/>
      <c r="J7" s="15" t="s">
        <v>33</v>
      </c>
      <c r="K7" s="17">
        <v>1000</v>
      </c>
      <c r="L7" s="18">
        <v>0.61199999999999999</v>
      </c>
      <c r="M7" s="19">
        <f t="shared" si="1"/>
        <v>612000</v>
      </c>
      <c r="N7" s="20">
        <f>379014+1000</f>
        <v>380014</v>
      </c>
    </row>
    <row r="8" spans="1:14" s="22" customFormat="1" x14ac:dyDescent="0.25">
      <c r="A8" s="11">
        <v>43242</v>
      </c>
      <c r="B8" s="12">
        <v>1462</v>
      </c>
      <c r="C8" s="13">
        <f t="shared" si="0"/>
        <v>0.68827964519140994</v>
      </c>
      <c r="D8" s="14" t="s">
        <v>34</v>
      </c>
      <c r="E8" s="15">
        <v>5</v>
      </c>
      <c r="F8" s="15">
        <v>21</v>
      </c>
      <c r="G8" s="15" t="s">
        <v>35</v>
      </c>
      <c r="H8" s="16">
        <v>43315</v>
      </c>
      <c r="I8" s="11"/>
      <c r="J8" s="15" t="s">
        <v>36</v>
      </c>
      <c r="K8" s="17">
        <v>21000</v>
      </c>
      <c r="L8" s="18">
        <v>0.4284</v>
      </c>
      <c r="M8" s="19">
        <f t="shared" si="1"/>
        <v>2142000</v>
      </c>
      <c r="N8" s="20">
        <v>1474295</v>
      </c>
    </row>
    <row r="9" spans="1:14" s="22" customFormat="1" x14ac:dyDescent="0.25">
      <c r="A9" s="11">
        <v>43277</v>
      </c>
      <c r="B9" s="12">
        <v>1471</v>
      </c>
      <c r="C9" s="13">
        <f t="shared" si="0"/>
        <v>0.68986694677871152</v>
      </c>
      <c r="D9" s="14" t="s">
        <v>37</v>
      </c>
      <c r="E9" s="15">
        <v>5</v>
      </c>
      <c r="F9" s="15" t="s">
        <v>38</v>
      </c>
      <c r="G9" s="15" t="s">
        <v>39</v>
      </c>
      <c r="H9" s="16">
        <v>43315</v>
      </c>
      <c r="I9" s="11"/>
      <c r="J9" s="15" t="s">
        <v>17</v>
      </c>
      <c r="K9" s="17">
        <v>10000</v>
      </c>
      <c r="L9" s="18">
        <v>0.4284</v>
      </c>
      <c r="M9" s="19">
        <f t="shared" si="1"/>
        <v>2142000</v>
      </c>
      <c r="N9" s="20">
        <f>1467695+10000</f>
        <v>1477695</v>
      </c>
    </row>
    <row r="10" spans="1:14" s="22" customFormat="1" x14ac:dyDescent="0.25">
      <c r="A10" s="11">
        <v>43242</v>
      </c>
      <c r="B10" s="12">
        <v>1458</v>
      </c>
      <c r="C10" s="13">
        <f t="shared" si="0"/>
        <v>0.70036458868234575</v>
      </c>
      <c r="D10" s="14" t="s">
        <v>40</v>
      </c>
      <c r="E10" s="23">
        <v>10</v>
      </c>
      <c r="F10" s="15" t="s">
        <v>41</v>
      </c>
      <c r="G10" s="15" t="s">
        <v>42</v>
      </c>
      <c r="H10" s="16">
        <v>43315</v>
      </c>
      <c r="I10" s="11"/>
      <c r="J10" s="15" t="s">
        <v>43</v>
      </c>
      <c r="K10" s="17">
        <v>50000</v>
      </c>
      <c r="L10" s="18">
        <v>0.29210999999999998</v>
      </c>
      <c r="M10" s="19">
        <f t="shared" si="1"/>
        <v>2921100</v>
      </c>
      <c r="N10" s="20">
        <f>1995835+50000</f>
        <v>2045835</v>
      </c>
    </row>
    <row r="11" spans="1:14" s="22" customFormat="1" x14ac:dyDescent="0.25">
      <c r="A11" s="11">
        <v>43313</v>
      </c>
      <c r="B11" s="12">
        <v>1474</v>
      </c>
      <c r="C11" s="13">
        <f t="shared" si="0"/>
        <v>0.61985784313725489</v>
      </c>
      <c r="D11" s="14" t="s">
        <v>30</v>
      </c>
      <c r="E11" s="15">
        <v>1</v>
      </c>
      <c r="F11" s="15" t="s">
        <v>44</v>
      </c>
      <c r="G11" s="15" t="s">
        <v>45</v>
      </c>
      <c r="H11" s="16">
        <v>43350</v>
      </c>
      <c r="I11" s="11"/>
      <c r="J11" s="15" t="s">
        <v>43</v>
      </c>
      <c r="K11" s="17">
        <v>1000</v>
      </c>
      <c r="L11" s="18">
        <v>0.61199999999999999</v>
      </c>
      <c r="M11" s="19">
        <f t="shared" si="1"/>
        <v>612000</v>
      </c>
      <c r="N11" s="20">
        <f>378353+1000</f>
        <v>379353</v>
      </c>
    </row>
    <row r="12" spans="1:14" s="22" customFormat="1" x14ac:dyDescent="0.25">
      <c r="A12" s="11">
        <v>43313</v>
      </c>
      <c r="B12" s="12">
        <v>1464</v>
      </c>
      <c r="C12" s="13">
        <f t="shared" si="0"/>
        <v>0.63913718553459109</v>
      </c>
      <c r="D12" s="14" t="s">
        <v>40</v>
      </c>
      <c r="E12" s="15">
        <v>2</v>
      </c>
      <c r="F12" s="15" t="s">
        <v>46</v>
      </c>
      <c r="G12" s="15" t="s">
        <v>47</v>
      </c>
      <c r="H12" s="16">
        <v>43350</v>
      </c>
      <c r="I12" s="11"/>
      <c r="J12" s="15" t="s">
        <v>43</v>
      </c>
      <c r="K12" s="17">
        <v>2000</v>
      </c>
      <c r="L12" s="18">
        <v>0.50880000000000003</v>
      </c>
      <c r="M12" s="19">
        <f t="shared" si="1"/>
        <v>1017600.0000000001</v>
      </c>
      <c r="N12" s="20">
        <f>648386+2000</f>
        <v>650386</v>
      </c>
    </row>
    <row r="13" spans="1:14" s="22" customFormat="1" x14ac:dyDescent="0.25">
      <c r="A13" s="11">
        <v>43245</v>
      </c>
      <c r="B13" s="12">
        <v>1466</v>
      </c>
      <c r="C13" s="13">
        <f t="shared" si="0"/>
        <v>0.67943113047688208</v>
      </c>
      <c r="D13" s="14" t="s">
        <v>48</v>
      </c>
      <c r="E13" s="15">
        <v>3</v>
      </c>
      <c r="F13" s="15" t="s">
        <v>49</v>
      </c>
      <c r="G13" s="15" t="s">
        <v>50</v>
      </c>
      <c r="H13" s="16">
        <v>43350</v>
      </c>
      <c r="I13" s="11"/>
      <c r="J13" s="15" t="s">
        <v>51</v>
      </c>
      <c r="K13" s="17">
        <v>10000</v>
      </c>
      <c r="L13" s="18">
        <v>0.55079999999999996</v>
      </c>
      <c r="M13" s="19">
        <f t="shared" si="1"/>
        <v>1652400</v>
      </c>
      <c r="N13" s="20">
        <f>1112692+10000</f>
        <v>1122692</v>
      </c>
    </row>
    <row r="14" spans="1:14" s="22" customFormat="1" x14ac:dyDescent="0.25">
      <c r="A14" s="11">
        <v>43313</v>
      </c>
      <c r="B14" s="12">
        <v>1470</v>
      </c>
      <c r="C14" s="13">
        <f t="shared" si="0"/>
        <v>0.68977591036414565</v>
      </c>
      <c r="D14" s="14" t="s">
        <v>14</v>
      </c>
      <c r="E14" s="15">
        <v>5</v>
      </c>
      <c r="F14" s="15" t="s">
        <v>52</v>
      </c>
      <c r="G14" s="15" t="s">
        <v>45</v>
      </c>
      <c r="H14" s="16">
        <v>43350</v>
      </c>
      <c r="I14" s="11"/>
      <c r="J14" s="15" t="s">
        <v>17</v>
      </c>
      <c r="K14" s="17">
        <v>20000</v>
      </c>
      <c r="L14" s="18">
        <v>0.4284</v>
      </c>
      <c r="M14" s="19">
        <f t="shared" si="1"/>
        <v>2142000</v>
      </c>
      <c r="N14" s="20">
        <f>1457500+20000</f>
        <v>1477500</v>
      </c>
    </row>
    <row r="15" spans="1:14" s="22" customFormat="1" x14ac:dyDescent="0.25">
      <c r="A15" s="11">
        <v>43313</v>
      </c>
      <c r="B15" s="12">
        <v>1473</v>
      </c>
      <c r="C15" s="13">
        <f t="shared" si="0"/>
        <v>0.68941891733894545</v>
      </c>
      <c r="D15" s="14" t="s">
        <v>14</v>
      </c>
      <c r="E15" s="15">
        <v>5</v>
      </c>
      <c r="F15" s="15" t="s">
        <v>53</v>
      </c>
      <c r="G15" s="15" t="s">
        <v>54</v>
      </c>
      <c r="H15" s="16">
        <v>43350</v>
      </c>
      <c r="I15" s="11"/>
      <c r="J15" s="15" t="s">
        <v>55</v>
      </c>
      <c r="K15" s="17">
        <v>25000</v>
      </c>
      <c r="L15" s="18">
        <v>0.42764999999999997</v>
      </c>
      <c r="M15" s="19">
        <f t="shared" si="1"/>
        <v>2138250</v>
      </c>
      <c r="N15" s="20">
        <f>1449150+25000</f>
        <v>1474150</v>
      </c>
    </row>
    <row r="16" spans="1:14" s="22" customFormat="1" x14ac:dyDescent="0.25">
      <c r="A16" s="11">
        <v>43313</v>
      </c>
      <c r="B16" s="12">
        <v>1475</v>
      </c>
      <c r="C16" s="13">
        <f t="shared" si="0"/>
        <v>0.62042483660130721</v>
      </c>
      <c r="D16" s="14" t="s">
        <v>40</v>
      </c>
      <c r="E16" s="15">
        <v>1</v>
      </c>
      <c r="F16" s="15" t="s">
        <v>56</v>
      </c>
      <c r="G16" s="15" t="s">
        <v>57</v>
      </c>
      <c r="H16" s="16">
        <v>43378</v>
      </c>
      <c r="I16" s="11"/>
      <c r="J16" s="15" t="s">
        <v>58</v>
      </c>
      <c r="K16" s="17">
        <v>500</v>
      </c>
      <c r="L16" s="18">
        <v>0.61199999999999999</v>
      </c>
      <c r="M16" s="19">
        <f t="shared" si="1"/>
        <v>612000</v>
      </c>
      <c r="N16" s="20">
        <f>379200+500</f>
        <v>379700</v>
      </c>
    </row>
    <row r="17" spans="1:14" s="22" customFormat="1" x14ac:dyDescent="0.25">
      <c r="A17" s="11">
        <v>43214</v>
      </c>
      <c r="B17" s="12">
        <v>1457</v>
      </c>
      <c r="C17" s="13">
        <f t="shared" si="0"/>
        <v>0.699249699879952</v>
      </c>
      <c r="D17" s="14" t="s">
        <v>14</v>
      </c>
      <c r="E17" s="23">
        <v>10</v>
      </c>
      <c r="F17" s="15" t="s">
        <v>59</v>
      </c>
      <c r="G17" s="15" t="s">
        <v>60</v>
      </c>
      <c r="H17" s="16">
        <v>43378</v>
      </c>
      <c r="I17" s="11"/>
      <c r="J17" s="15" t="s">
        <v>61</v>
      </c>
      <c r="K17" s="17">
        <v>50000</v>
      </c>
      <c r="L17" s="18">
        <v>0.29987999999999998</v>
      </c>
      <c r="M17" s="19">
        <f t="shared" si="1"/>
        <v>2998800</v>
      </c>
      <c r="N17" s="20">
        <f>2046910+50000</f>
        <v>2096910</v>
      </c>
    </row>
    <row r="18" spans="1:14" s="22" customFormat="1" x14ac:dyDescent="0.25">
      <c r="A18" s="11">
        <v>43277</v>
      </c>
      <c r="B18" s="12">
        <v>1477</v>
      </c>
      <c r="C18" s="13">
        <f t="shared" si="0"/>
        <v>0.73583333333333334</v>
      </c>
      <c r="D18" s="14" t="s">
        <v>14</v>
      </c>
      <c r="E18" s="24">
        <v>20</v>
      </c>
      <c r="F18" s="15" t="s">
        <v>62</v>
      </c>
      <c r="G18" s="15" t="s">
        <v>63</v>
      </c>
      <c r="H18" s="16">
        <v>43378</v>
      </c>
      <c r="I18" s="11"/>
      <c r="J18" s="15" t="s">
        <v>17</v>
      </c>
      <c r="K18" s="17">
        <v>150000</v>
      </c>
      <c r="L18" s="18">
        <v>0.18360000000000001</v>
      </c>
      <c r="M18" s="19">
        <f t="shared" si="1"/>
        <v>3672000</v>
      </c>
      <c r="N18" s="20">
        <f>2551980+150000</f>
        <v>2701980</v>
      </c>
    </row>
    <row r="19" spans="1:14" s="22" customFormat="1" x14ac:dyDescent="0.25">
      <c r="A19" s="11">
        <v>43361</v>
      </c>
      <c r="B19" s="12">
        <v>1485</v>
      </c>
      <c r="C19" s="13">
        <f t="shared" si="0"/>
        <v>0.70106935366739287</v>
      </c>
      <c r="D19" s="14" t="s">
        <v>64</v>
      </c>
      <c r="E19" s="15">
        <v>1</v>
      </c>
      <c r="F19" s="15" t="s">
        <v>65</v>
      </c>
      <c r="G19" s="15" t="s">
        <v>66</v>
      </c>
      <c r="H19" s="16">
        <v>43399</v>
      </c>
      <c r="I19" s="11"/>
      <c r="J19" s="15" t="s">
        <v>17</v>
      </c>
      <c r="K19" s="17">
        <v>500</v>
      </c>
      <c r="L19" s="18">
        <v>0.55079999999999996</v>
      </c>
      <c r="M19" s="25">
        <f t="shared" si="1"/>
        <v>550800</v>
      </c>
      <c r="N19" s="20">
        <f>385149+1000</f>
        <v>386149</v>
      </c>
    </row>
    <row r="20" spans="1:14" s="22" customFormat="1" x14ac:dyDescent="0.25">
      <c r="A20" s="11">
        <v>43361</v>
      </c>
      <c r="B20" s="12">
        <v>1486</v>
      </c>
      <c r="C20" s="13">
        <f t="shared" si="0"/>
        <v>0.72247198879551822</v>
      </c>
      <c r="D20" s="14" t="s">
        <v>64</v>
      </c>
      <c r="E20" s="15">
        <v>2</v>
      </c>
      <c r="F20" s="15" t="s">
        <v>67</v>
      </c>
      <c r="G20" s="15" t="s">
        <v>68</v>
      </c>
      <c r="H20" s="16">
        <v>43399</v>
      </c>
      <c r="I20" s="11"/>
      <c r="J20" s="15" t="s">
        <v>69</v>
      </c>
      <c r="K20" s="17">
        <v>5000</v>
      </c>
      <c r="L20" s="18">
        <v>0.35699999999999998</v>
      </c>
      <c r="M20" s="25">
        <f t="shared" si="1"/>
        <v>714000</v>
      </c>
      <c r="N20" s="20">
        <f>510845+5000</f>
        <v>515845</v>
      </c>
    </row>
    <row r="21" spans="1:14" s="22" customFormat="1" x14ac:dyDescent="0.25">
      <c r="A21" s="11">
        <v>43361</v>
      </c>
      <c r="B21" s="12">
        <v>1488</v>
      </c>
      <c r="C21" s="13">
        <f t="shared" si="0"/>
        <v>0.67950133139675628</v>
      </c>
      <c r="D21" s="14" t="s">
        <v>64</v>
      </c>
      <c r="E21" s="15">
        <v>3</v>
      </c>
      <c r="F21" s="15" t="s">
        <v>70</v>
      </c>
      <c r="G21" s="15" t="s">
        <v>71</v>
      </c>
      <c r="H21" s="16">
        <v>43399</v>
      </c>
      <c r="I21" s="11"/>
      <c r="J21" s="15" t="s">
        <v>51</v>
      </c>
      <c r="K21" s="17">
        <v>10000</v>
      </c>
      <c r="L21" s="18">
        <v>0.55079999999999996</v>
      </c>
      <c r="M21" s="25">
        <f t="shared" si="1"/>
        <v>1652400</v>
      </c>
      <c r="N21" s="20">
        <f>1112808+10000</f>
        <v>1122808</v>
      </c>
    </row>
    <row r="22" spans="1:14" s="22" customFormat="1" x14ac:dyDescent="0.25">
      <c r="A22" s="11">
        <v>43361</v>
      </c>
      <c r="B22" s="12">
        <v>1490</v>
      </c>
      <c r="C22" s="13">
        <f t="shared" si="0"/>
        <v>0.71973473335175464</v>
      </c>
      <c r="D22" s="14" t="s">
        <v>64</v>
      </c>
      <c r="E22" s="15">
        <v>5</v>
      </c>
      <c r="F22" s="15" t="s">
        <v>72</v>
      </c>
      <c r="G22" s="15" t="s">
        <v>73</v>
      </c>
      <c r="H22" s="16">
        <v>43399</v>
      </c>
      <c r="I22" s="11"/>
      <c r="J22" s="15" t="s">
        <v>17</v>
      </c>
      <c r="K22" s="17">
        <v>10000</v>
      </c>
      <c r="L22" s="18">
        <v>0.27142500000000003</v>
      </c>
      <c r="M22" s="25">
        <f t="shared" si="1"/>
        <v>1357125</v>
      </c>
      <c r="N22" s="20">
        <f>966770+10000</f>
        <v>976770</v>
      </c>
    </row>
    <row r="23" spans="1:14" s="22" customFormat="1" x14ac:dyDescent="0.25">
      <c r="A23" s="11">
        <v>43361</v>
      </c>
      <c r="B23" s="12">
        <v>1491</v>
      </c>
      <c r="C23" s="13">
        <f t="shared" si="0"/>
        <v>0.7192302106027596</v>
      </c>
      <c r="D23" s="14" t="s">
        <v>64</v>
      </c>
      <c r="E23" s="15">
        <v>5</v>
      </c>
      <c r="F23" s="15" t="s">
        <v>74</v>
      </c>
      <c r="G23" s="15" t="s">
        <v>75</v>
      </c>
      <c r="H23" s="16">
        <v>43399</v>
      </c>
      <c r="I23" s="11"/>
      <c r="J23" s="15" t="s">
        <v>17</v>
      </c>
      <c r="K23" s="17">
        <v>10000</v>
      </c>
      <c r="L23" s="18">
        <v>0.27539999999999998</v>
      </c>
      <c r="M23" s="25">
        <f t="shared" si="1"/>
        <v>1377000</v>
      </c>
      <c r="N23" s="20">
        <f>980380+10000</f>
        <v>990380</v>
      </c>
    </row>
    <row r="24" spans="1:14" s="22" customFormat="1" x14ac:dyDescent="0.25">
      <c r="A24" s="11">
        <v>43361</v>
      </c>
      <c r="B24" s="12">
        <v>1483</v>
      </c>
      <c r="C24" s="13">
        <f t="shared" si="0"/>
        <v>0.73982153043761711</v>
      </c>
      <c r="D24" s="14" t="s">
        <v>14</v>
      </c>
      <c r="E24" s="23">
        <v>10</v>
      </c>
      <c r="F24" s="15" t="s">
        <v>76</v>
      </c>
      <c r="G24" s="15" t="s">
        <v>77</v>
      </c>
      <c r="H24" s="16">
        <v>43399</v>
      </c>
      <c r="I24" s="11"/>
      <c r="J24" s="15" t="s">
        <v>17</v>
      </c>
      <c r="K24" s="17">
        <v>20000</v>
      </c>
      <c r="L24" s="18">
        <v>0.24542</v>
      </c>
      <c r="M24" s="19">
        <f t="shared" si="1"/>
        <v>2454200</v>
      </c>
      <c r="N24" s="20">
        <f>1795670+20000</f>
        <v>1815670</v>
      </c>
    </row>
    <row r="25" spans="1:14" s="22" customFormat="1" x14ac:dyDescent="0.25">
      <c r="A25" s="11">
        <v>43245</v>
      </c>
      <c r="B25" s="12">
        <v>1468</v>
      </c>
      <c r="C25" s="13">
        <f t="shared" si="0"/>
        <v>0.67957584422657957</v>
      </c>
      <c r="D25" s="14" t="s">
        <v>78</v>
      </c>
      <c r="E25" s="15">
        <v>3</v>
      </c>
      <c r="F25" s="15" t="s">
        <v>79</v>
      </c>
      <c r="G25" s="15" t="s">
        <v>80</v>
      </c>
      <c r="H25" s="16">
        <v>43406</v>
      </c>
      <c r="I25" s="11"/>
      <c r="J25" s="15" t="s">
        <v>81</v>
      </c>
      <c r="K25" s="17">
        <v>10000</v>
      </c>
      <c r="L25" s="18">
        <v>0.48959999999999998</v>
      </c>
      <c r="M25" s="19">
        <f t="shared" si="1"/>
        <v>1468800</v>
      </c>
      <c r="N25" s="20">
        <f>988161+10000</f>
        <v>998161</v>
      </c>
    </row>
    <row r="26" spans="1:14" s="22" customFormat="1" x14ac:dyDescent="0.25">
      <c r="A26" s="11">
        <v>43313</v>
      </c>
      <c r="B26" s="12">
        <v>1472</v>
      </c>
      <c r="C26" s="13">
        <f t="shared" si="0"/>
        <v>0.69036881419234364</v>
      </c>
      <c r="D26" s="14" t="s">
        <v>40</v>
      </c>
      <c r="E26" s="15">
        <v>5</v>
      </c>
      <c r="F26" s="15" t="s">
        <v>82</v>
      </c>
      <c r="G26" s="15" t="s">
        <v>83</v>
      </c>
      <c r="H26" s="16">
        <v>43406</v>
      </c>
      <c r="I26" s="11"/>
      <c r="J26" s="15" t="s">
        <v>43</v>
      </c>
      <c r="K26" s="17">
        <v>802</v>
      </c>
      <c r="L26" s="18">
        <v>0.4284</v>
      </c>
      <c r="M26" s="19">
        <f t="shared" si="1"/>
        <v>2142000</v>
      </c>
      <c r="N26" s="20">
        <f>1477968+802</f>
        <v>1478770</v>
      </c>
    </row>
    <row r="27" spans="1:14" s="22" customFormat="1" x14ac:dyDescent="0.25">
      <c r="A27" s="11">
        <v>43361</v>
      </c>
      <c r="B27" s="12">
        <v>1482</v>
      </c>
      <c r="C27" s="13">
        <f t="shared" si="0"/>
        <v>0.69874283046551955</v>
      </c>
      <c r="D27" s="14" t="s">
        <v>14</v>
      </c>
      <c r="E27" s="23">
        <v>10</v>
      </c>
      <c r="F27" s="15" t="s">
        <v>84</v>
      </c>
      <c r="G27" s="15" t="s">
        <v>85</v>
      </c>
      <c r="H27" s="16">
        <v>43406</v>
      </c>
      <c r="I27" s="11"/>
      <c r="J27" s="15" t="s">
        <v>55</v>
      </c>
      <c r="K27" s="17">
        <v>50000</v>
      </c>
      <c r="L27" s="18">
        <v>0.29987999999999998</v>
      </c>
      <c r="M27" s="19">
        <f t="shared" si="1"/>
        <v>2998800</v>
      </c>
      <c r="N27" s="20">
        <f>2045390+50000</f>
        <v>2095390</v>
      </c>
    </row>
    <row r="28" spans="1:14" s="22" customFormat="1" x14ac:dyDescent="0.25">
      <c r="A28" s="11">
        <v>43403</v>
      </c>
      <c r="B28" s="12">
        <v>1484</v>
      </c>
      <c r="C28" s="13">
        <f t="shared" si="0"/>
        <v>0.70071278825995809</v>
      </c>
      <c r="D28" s="14" t="s">
        <v>64</v>
      </c>
      <c r="E28" s="15">
        <v>1</v>
      </c>
      <c r="F28" s="15" t="s">
        <v>86</v>
      </c>
      <c r="G28" s="15" t="s">
        <v>87</v>
      </c>
      <c r="H28" s="16">
        <v>43441</v>
      </c>
      <c r="I28" s="11"/>
      <c r="J28" s="15" t="s">
        <v>88</v>
      </c>
      <c r="K28" s="17">
        <v>1000</v>
      </c>
      <c r="L28" s="18">
        <v>0.54854999999999998</v>
      </c>
      <c r="M28" s="25">
        <f t="shared" si="1"/>
        <v>548550</v>
      </c>
      <c r="N28" s="20">
        <f>383376+1000</f>
        <v>384376</v>
      </c>
    </row>
    <row r="29" spans="1:14" s="22" customFormat="1" x14ac:dyDescent="0.25">
      <c r="A29" s="11">
        <v>43403</v>
      </c>
      <c r="B29" s="12">
        <v>1487</v>
      </c>
      <c r="C29" s="13">
        <f t="shared" si="0"/>
        <v>0.71935049019607844</v>
      </c>
      <c r="D29" s="14" t="s">
        <v>64</v>
      </c>
      <c r="E29" s="15">
        <v>2</v>
      </c>
      <c r="F29" s="15" t="s">
        <v>89</v>
      </c>
      <c r="G29" s="15" t="s">
        <v>87</v>
      </c>
      <c r="H29" s="16">
        <v>43441</v>
      </c>
      <c r="I29" s="11"/>
      <c r="J29" s="15" t="s">
        <v>55</v>
      </c>
      <c r="K29" s="17">
        <v>5000</v>
      </c>
      <c r="L29" s="18">
        <v>0.40799999999999997</v>
      </c>
      <c r="M29" s="25">
        <f t="shared" si="1"/>
        <v>816000</v>
      </c>
      <c r="N29" s="20">
        <f>581990+5000</f>
        <v>586990</v>
      </c>
    </row>
    <row r="30" spans="1:14" s="22" customFormat="1" x14ac:dyDescent="0.25">
      <c r="A30" s="11">
        <v>43403</v>
      </c>
      <c r="B30" s="12">
        <v>1478</v>
      </c>
      <c r="C30" s="13">
        <f t="shared" si="0"/>
        <v>0.68828664799253036</v>
      </c>
      <c r="D30" s="14" t="s">
        <v>37</v>
      </c>
      <c r="E30" s="15">
        <v>5</v>
      </c>
      <c r="F30" s="15" t="s">
        <v>90</v>
      </c>
      <c r="G30" s="15" t="s">
        <v>42</v>
      </c>
      <c r="H30" s="16">
        <v>43441</v>
      </c>
      <c r="I30" s="11"/>
      <c r="J30" s="15" t="s">
        <v>81</v>
      </c>
      <c r="K30" s="17">
        <v>5000</v>
      </c>
      <c r="L30" s="18">
        <v>0.4284</v>
      </c>
      <c r="M30" s="19">
        <f t="shared" si="1"/>
        <v>2142000</v>
      </c>
      <c r="N30" s="20">
        <f>1467560+10000-3250</f>
        <v>1474310</v>
      </c>
    </row>
    <row r="31" spans="1:14" s="22" customFormat="1" x14ac:dyDescent="0.25">
      <c r="A31" s="11">
        <v>43403</v>
      </c>
      <c r="B31" s="12">
        <v>1492</v>
      </c>
      <c r="C31" s="13">
        <f t="shared" si="0"/>
        <v>0.71936456063907039</v>
      </c>
      <c r="D31" s="14" t="s">
        <v>64</v>
      </c>
      <c r="E31" s="15">
        <v>5</v>
      </c>
      <c r="F31" s="15" t="s">
        <v>91</v>
      </c>
      <c r="G31" s="15" t="s">
        <v>87</v>
      </c>
      <c r="H31" s="16">
        <v>43441</v>
      </c>
      <c r="I31" s="11"/>
      <c r="J31" s="15" t="s">
        <v>17</v>
      </c>
      <c r="K31" s="17">
        <v>10000</v>
      </c>
      <c r="L31" s="18">
        <v>0.27539999999999998</v>
      </c>
      <c r="M31" s="25">
        <f t="shared" si="1"/>
        <v>1377000</v>
      </c>
      <c r="N31" s="20">
        <f>980565+10000</f>
        <v>990565</v>
      </c>
    </row>
    <row r="32" spans="1:14" s="22" customFormat="1" x14ac:dyDescent="0.25">
      <c r="A32" s="11">
        <v>43403</v>
      </c>
      <c r="B32" s="12">
        <v>1493</v>
      </c>
      <c r="C32" s="13">
        <f t="shared" si="0"/>
        <v>0.74207467714766984</v>
      </c>
      <c r="D32" s="14" t="s">
        <v>14</v>
      </c>
      <c r="E32" s="24">
        <v>20</v>
      </c>
      <c r="F32" s="15" t="s">
        <v>92</v>
      </c>
      <c r="G32" s="15" t="s">
        <v>93</v>
      </c>
      <c r="H32" s="16">
        <v>43441</v>
      </c>
      <c r="I32" s="11"/>
      <c r="J32" s="15" t="s">
        <v>17</v>
      </c>
      <c r="K32" s="17">
        <v>150000</v>
      </c>
      <c r="L32" s="18">
        <v>0.17810000000000001</v>
      </c>
      <c r="M32" s="19">
        <f t="shared" si="1"/>
        <v>3562000</v>
      </c>
      <c r="N32" s="20">
        <f>2493270+150000</f>
        <v>2643270</v>
      </c>
    </row>
    <row r="33" spans="1:14" s="22" customFormat="1" x14ac:dyDescent="0.25">
      <c r="A33" s="11">
        <v>43431</v>
      </c>
      <c r="B33" s="12">
        <v>1479</v>
      </c>
      <c r="C33" s="13">
        <f t="shared" si="0"/>
        <v>0.69036199894049088</v>
      </c>
      <c r="D33" s="14" t="s">
        <v>34</v>
      </c>
      <c r="E33" s="15">
        <v>5</v>
      </c>
      <c r="F33" s="15" t="s">
        <v>94</v>
      </c>
      <c r="G33" s="15" t="s">
        <v>75</v>
      </c>
      <c r="H33" s="16">
        <v>43469</v>
      </c>
      <c r="I33" s="11"/>
      <c r="J33" s="15" t="s">
        <v>17</v>
      </c>
      <c r="K33" s="17">
        <v>20000</v>
      </c>
      <c r="L33" s="18">
        <v>0.42472500000000002</v>
      </c>
      <c r="M33" s="19">
        <f t="shared" si="1"/>
        <v>2123625</v>
      </c>
      <c r="N33" s="20">
        <f>1446070+20000</f>
        <v>1466070</v>
      </c>
    </row>
    <row r="34" spans="1:14" s="22" customFormat="1" x14ac:dyDescent="0.25">
      <c r="A34" s="11">
        <v>43431</v>
      </c>
      <c r="B34" s="12">
        <v>1480</v>
      </c>
      <c r="C34" s="13">
        <f t="shared" si="0"/>
        <v>0.69144724556489268</v>
      </c>
      <c r="D34" s="14" t="s">
        <v>34</v>
      </c>
      <c r="E34" s="15">
        <v>5</v>
      </c>
      <c r="F34" s="15" t="s">
        <v>95</v>
      </c>
      <c r="G34" s="15" t="s">
        <v>96</v>
      </c>
      <c r="H34" s="16">
        <v>43469</v>
      </c>
      <c r="I34" s="11"/>
      <c r="J34" s="15" t="s">
        <v>17</v>
      </c>
      <c r="K34" s="17">
        <v>20000</v>
      </c>
      <c r="L34" s="18">
        <v>0.4284</v>
      </c>
      <c r="M34" s="19">
        <f t="shared" ref="M34:M65" si="2">(L34*1000000)*E34</f>
        <v>2142000</v>
      </c>
      <c r="N34" s="20">
        <f>1461080+20000</f>
        <v>1481080</v>
      </c>
    </row>
    <row r="35" spans="1:14" s="22" customFormat="1" x14ac:dyDescent="0.25">
      <c r="A35" s="11">
        <v>43242</v>
      </c>
      <c r="B35" s="12">
        <v>1404</v>
      </c>
      <c r="C35" s="13">
        <f t="shared" si="0"/>
        <v>0.63921568627450975</v>
      </c>
      <c r="D35" s="14" t="s">
        <v>34</v>
      </c>
      <c r="E35" s="15">
        <v>2</v>
      </c>
      <c r="F35" s="15" t="s">
        <v>97</v>
      </c>
      <c r="G35" s="15" t="s">
        <v>98</v>
      </c>
      <c r="H35" s="16">
        <v>43497</v>
      </c>
      <c r="I35" s="11"/>
      <c r="J35" s="15" t="s">
        <v>99</v>
      </c>
      <c r="K35" s="17">
        <v>10000</v>
      </c>
      <c r="L35" s="18">
        <v>0.51</v>
      </c>
      <c r="M35" s="19">
        <f t="shared" si="2"/>
        <v>1020000</v>
      </c>
      <c r="N35" s="20">
        <f>642000+10000</f>
        <v>652000</v>
      </c>
    </row>
    <row r="36" spans="1:14" s="22" customFormat="1" x14ac:dyDescent="0.25">
      <c r="A36" s="11">
        <v>43340</v>
      </c>
      <c r="B36" s="12">
        <v>1467</v>
      </c>
      <c r="C36" s="13">
        <f t="shared" si="0"/>
        <v>0.67998031798751424</v>
      </c>
      <c r="D36" s="14" t="s">
        <v>48</v>
      </c>
      <c r="E36" s="15">
        <v>3</v>
      </c>
      <c r="F36" s="15" t="s">
        <v>100</v>
      </c>
      <c r="G36" s="15" t="s">
        <v>101</v>
      </c>
      <c r="H36" s="16">
        <v>43497</v>
      </c>
      <c r="I36" s="11"/>
      <c r="J36" s="15" t="s">
        <v>51</v>
      </c>
      <c r="K36" s="17">
        <v>10000</v>
      </c>
      <c r="L36" s="18">
        <v>0.54195000000000004</v>
      </c>
      <c r="M36" s="19">
        <f t="shared" si="2"/>
        <v>1625850</v>
      </c>
      <c r="N36" s="20">
        <f>1095546+10000</f>
        <v>1105546</v>
      </c>
    </row>
    <row r="37" spans="1:14" s="22" customFormat="1" x14ac:dyDescent="0.25">
      <c r="A37" s="11">
        <v>43403</v>
      </c>
      <c r="B37" s="12">
        <v>1500</v>
      </c>
      <c r="C37" s="13">
        <f t="shared" si="0"/>
        <v>0.69044351073762833</v>
      </c>
      <c r="D37" s="14" t="s">
        <v>18</v>
      </c>
      <c r="E37" s="15">
        <v>5</v>
      </c>
      <c r="F37" s="15" t="s">
        <v>102</v>
      </c>
      <c r="G37" s="15" t="s">
        <v>103</v>
      </c>
      <c r="H37" s="16">
        <v>43497</v>
      </c>
      <c r="I37" s="11"/>
      <c r="J37" s="15" t="s">
        <v>104</v>
      </c>
      <c r="K37" s="17">
        <v>20000</v>
      </c>
      <c r="L37" s="18">
        <v>0.4284</v>
      </c>
      <c r="M37" s="19">
        <f t="shared" si="2"/>
        <v>2142000</v>
      </c>
      <c r="N37" s="20">
        <f>1458930+20000</f>
        <v>1478930</v>
      </c>
    </row>
    <row r="38" spans="1:14" s="22" customFormat="1" x14ac:dyDescent="0.25">
      <c r="A38" s="11">
        <v>43461</v>
      </c>
      <c r="B38" s="12">
        <v>1495</v>
      </c>
      <c r="C38" s="13">
        <f t="shared" si="0"/>
        <v>0.6901353874883287</v>
      </c>
      <c r="D38" s="14" t="s">
        <v>18</v>
      </c>
      <c r="E38" s="15">
        <v>5</v>
      </c>
      <c r="F38" s="15" t="s">
        <v>105</v>
      </c>
      <c r="G38" s="15" t="s">
        <v>106</v>
      </c>
      <c r="H38" s="16">
        <v>43497</v>
      </c>
      <c r="I38" s="11"/>
      <c r="J38" s="15" t="s">
        <v>17</v>
      </c>
      <c r="K38" s="17">
        <v>20000</v>
      </c>
      <c r="L38" s="18">
        <v>0.4284</v>
      </c>
      <c r="M38" s="25">
        <f t="shared" si="2"/>
        <v>2142000</v>
      </c>
      <c r="N38" s="20">
        <f>1458270+20000</f>
        <v>1478270</v>
      </c>
    </row>
    <row r="39" spans="1:14" s="22" customFormat="1" x14ac:dyDescent="0.25">
      <c r="A39" s="11">
        <v>43452</v>
      </c>
      <c r="B39" s="12">
        <v>1496</v>
      </c>
      <c r="C39" s="13">
        <f t="shared" si="0"/>
        <v>0.69031746031746033</v>
      </c>
      <c r="D39" s="14" t="s">
        <v>14</v>
      </c>
      <c r="E39" s="15">
        <v>5</v>
      </c>
      <c r="F39" s="15" t="s">
        <v>107</v>
      </c>
      <c r="G39" s="15" t="s">
        <v>108</v>
      </c>
      <c r="H39" s="16">
        <v>43497</v>
      </c>
      <c r="I39" s="11"/>
      <c r="J39" s="15" t="s">
        <v>55</v>
      </c>
      <c r="K39" s="17">
        <v>25000</v>
      </c>
      <c r="L39" s="18">
        <v>0.4284</v>
      </c>
      <c r="M39" s="25">
        <f t="shared" si="2"/>
        <v>2142000</v>
      </c>
      <c r="N39" s="20">
        <f>1453660+25000</f>
        <v>1478660</v>
      </c>
    </row>
    <row r="40" spans="1:14" s="22" customFormat="1" x14ac:dyDescent="0.25">
      <c r="A40" s="11">
        <v>43403</v>
      </c>
      <c r="B40" s="12">
        <v>1501</v>
      </c>
      <c r="C40" s="13">
        <f t="shared" si="0"/>
        <v>0.70138777421080789</v>
      </c>
      <c r="D40" s="14" t="s">
        <v>14</v>
      </c>
      <c r="E40" s="23">
        <v>10</v>
      </c>
      <c r="F40" s="15" t="s">
        <v>109</v>
      </c>
      <c r="G40" s="15" t="s">
        <v>110</v>
      </c>
      <c r="H40" s="16">
        <v>43497</v>
      </c>
      <c r="I40" s="11"/>
      <c r="J40" s="15" t="s">
        <v>17</v>
      </c>
      <c r="K40" s="17">
        <v>10000</v>
      </c>
      <c r="L40" s="18">
        <v>0.29903999999999997</v>
      </c>
      <c r="M40" s="19">
        <f t="shared" si="2"/>
        <v>2990400</v>
      </c>
      <c r="N40" s="20">
        <f>2087430+10000</f>
        <v>2097430</v>
      </c>
    </row>
    <row r="41" spans="1:14" s="22" customFormat="1" x14ac:dyDescent="0.25">
      <c r="A41" s="11">
        <v>43487</v>
      </c>
      <c r="B41" s="12">
        <v>1497</v>
      </c>
      <c r="C41" s="13">
        <v>0.75</v>
      </c>
      <c r="D41" s="14" t="s">
        <v>14</v>
      </c>
      <c r="E41" s="26">
        <v>25</v>
      </c>
      <c r="F41" s="15" t="s">
        <v>111</v>
      </c>
      <c r="G41" s="15" t="s">
        <v>73</v>
      </c>
      <c r="H41" s="27">
        <v>43525</v>
      </c>
      <c r="I41" s="11"/>
      <c r="J41" s="15" t="s">
        <v>17</v>
      </c>
      <c r="K41" s="17">
        <v>25000</v>
      </c>
      <c r="L41" s="18">
        <v>0.18</v>
      </c>
      <c r="M41" s="19">
        <f t="shared" si="2"/>
        <v>4500000</v>
      </c>
      <c r="N41" s="20">
        <f>+M41*C41</f>
        <v>3375000</v>
      </c>
    </row>
    <row r="42" spans="1:14" s="22" customFormat="1" x14ac:dyDescent="0.25">
      <c r="A42" s="11">
        <v>43487</v>
      </c>
      <c r="B42" s="12">
        <v>1481</v>
      </c>
      <c r="C42" s="13">
        <v>0.7</v>
      </c>
      <c r="D42" s="14" t="s">
        <v>14</v>
      </c>
      <c r="E42" s="23">
        <v>10</v>
      </c>
      <c r="F42" s="15" t="s">
        <v>112</v>
      </c>
      <c r="G42" s="15" t="s">
        <v>113</v>
      </c>
      <c r="H42" s="27">
        <v>43525</v>
      </c>
      <c r="I42" s="11"/>
      <c r="J42" s="15" t="s">
        <v>17</v>
      </c>
      <c r="K42" s="17">
        <v>50000</v>
      </c>
      <c r="L42" s="18">
        <v>0.29399999999999998</v>
      </c>
      <c r="M42" s="19">
        <f t="shared" si="2"/>
        <v>2940000</v>
      </c>
      <c r="N42" s="20">
        <f>+M42*C42</f>
        <v>2057999.9999999998</v>
      </c>
    </row>
    <row r="43" spans="1:14" s="22" customFormat="1" x14ac:dyDescent="0.25">
      <c r="A43" s="11">
        <v>43452</v>
      </c>
      <c r="B43" s="12">
        <v>1494</v>
      </c>
      <c r="C43" s="13">
        <f>+N43/M43</f>
        <v>0.70163065226090437</v>
      </c>
      <c r="D43" s="14" t="s">
        <v>14</v>
      </c>
      <c r="E43" s="23">
        <v>10</v>
      </c>
      <c r="F43" s="15" t="s">
        <v>126</v>
      </c>
      <c r="G43" s="15" t="s">
        <v>127</v>
      </c>
      <c r="H43" s="27" t="s">
        <v>116</v>
      </c>
      <c r="I43" s="11"/>
      <c r="J43" s="15" t="s">
        <v>17</v>
      </c>
      <c r="K43" s="17">
        <v>100</v>
      </c>
      <c r="L43" s="18">
        <v>0.29987999999999998</v>
      </c>
      <c r="M43" s="19">
        <f t="shared" si="2"/>
        <v>2998800</v>
      </c>
      <c r="N43" s="20">
        <v>2104050</v>
      </c>
    </row>
    <row r="44" spans="1:14" x14ac:dyDescent="0.25">
      <c r="A44" s="16">
        <v>43403</v>
      </c>
      <c r="B44" s="12">
        <v>1476</v>
      </c>
      <c r="C44" s="13">
        <f>+N44/M44</f>
        <v>0.61947131516490717</v>
      </c>
      <c r="D44" s="28" t="s">
        <v>121</v>
      </c>
      <c r="E44" s="15">
        <v>1</v>
      </c>
      <c r="F44" s="29" t="s">
        <v>122</v>
      </c>
      <c r="G44" s="29" t="s">
        <v>123</v>
      </c>
      <c r="H44" s="27" t="s">
        <v>116</v>
      </c>
      <c r="I44" s="16"/>
      <c r="J44" s="29" t="s">
        <v>104</v>
      </c>
      <c r="K44" s="21">
        <v>1000</v>
      </c>
      <c r="L44" s="30">
        <v>0.61094999999999999</v>
      </c>
      <c r="M44" s="19">
        <f t="shared" si="2"/>
        <v>610950</v>
      </c>
      <c r="N44" s="20">
        <f>377466+1000</f>
        <v>378466</v>
      </c>
    </row>
    <row r="45" spans="1:14" s="22" customFormat="1" x14ac:dyDescent="0.25">
      <c r="A45" s="11">
        <v>43340</v>
      </c>
      <c r="B45" s="12">
        <v>1465</v>
      </c>
      <c r="C45" s="13">
        <f>+N45/M45</f>
        <v>0.63889803921568622</v>
      </c>
      <c r="D45" s="14" t="s">
        <v>40</v>
      </c>
      <c r="E45" s="15">
        <v>2</v>
      </c>
      <c r="F45" s="15" t="s">
        <v>114</v>
      </c>
      <c r="G45" s="15" t="s">
        <v>115</v>
      </c>
      <c r="H45" s="27" t="s">
        <v>116</v>
      </c>
      <c r="I45" s="11"/>
      <c r="J45" s="15" t="s">
        <v>43</v>
      </c>
      <c r="K45" s="17">
        <v>3333</v>
      </c>
      <c r="L45" s="18">
        <v>0.51</v>
      </c>
      <c r="M45" s="19">
        <f t="shared" si="2"/>
        <v>1020000</v>
      </c>
      <c r="N45" s="20">
        <f>648343+3333</f>
        <v>651676</v>
      </c>
    </row>
    <row r="46" spans="1:14" s="22" customFormat="1" x14ac:dyDescent="0.25">
      <c r="A46" s="11">
        <v>43340</v>
      </c>
      <c r="B46" s="12">
        <v>1469</v>
      </c>
      <c r="C46" s="13">
        <f>+N46/M46</f>
        <v>0.67883578431372549</v>
      </c>
      <c r="D46" s="14" t="s">
        <v>117</v>
      </c>
      <c r="E46" s="15">
        <v>3</v>
      </c>
      <c r="F46" s="15" t="s">
        <v>118</v>
      </c>
      <c r="G46" s="15" t="s">
        <v>119</v>
      </c>
      <c r="H46" s="27" t="s">
        <v>116</v>
      </c>
      <c r="I46" s="11"/>
      <c r="J46" s="15" t="s">
        <v>120</v>
      </c>
      <c r="K46" s="17">
        <v>10000</v>
      </c>
      <c r="L46" s="18">
        <v>0.48959999999999998</v>
      </c>
      <c r="M46" s="25">
        <f t="shared" si="2"/>
        <v>1468800</v>
      </c>
      <c r="N46" s="20">
        <f>987074+10000</f>
        <v>997074</v>
      </c>
    </row>
    <row r="47" spans="1:14" s="22" customFormat="1" x14ac:dyDescent="0.25">
      <c r="A47" s="11">
        <v>43461</v>
      </c>
      <c r="B47" s="12">
        <v>1503</v>
      </c>
      <c r="C47" s="13">
        <f>+N47/M47</f>
        <v>0.69</v>
      </c>
      <c r="D47" s="14" t="s">
        <v>14</v>
      </c>
      <c r="E47" s="15">
        <v>5</v>
      </c>
      <c r="F47" s="15" t="s">
        <v>131</v>
      </c>
      <c r="G47" s="15" t="s">
        <v>132</v>
      </c>
      <c r="H47" s="27" t="s">
        <v>116</v>
      </c>
      <c r="I47" s="11"/>
      <c r="J47" s="15" t="s">
        <v>17</v>
      </c>
      <c r="K47" s="17">
        <v>20000</v>
      </c>
      <c r="L47" s="18">
        <v>0.4284</v>
      </c>
      <c r="M47" s="25">
        <f t="shared" si="2"/>
        <v>2142000</v>
      </c>
      <c r="N47" s="20">
        <f>1457980+20000</f>
        <v>1477980</v>
      </c>
    </row>
    <row r="48" spans="1:14" s="22" customFormat="1" x14ac:dyDescent="0.25">
      <c r="A48" s="11">
        <v>43487</v>
      </c>
      <c r="B48" s="12">
        <v>1504</v>
      </c>
      <c r="C48" s="13">
        <v>0.69</v>
      </c>
      <c r="D48" s="14" t="s">
        <v>40</v>
      </c>
      <c r="E48" s="15">
        <v>5</v>
      </c>
      <c r="F48" s="15" t="s">
        <v>133</v>
      </c>
      <c r="G48" s="15" t="s">
        <v>71</v>
      </c>
      <c r="H48" s="27" t="s">
        <v>116</v>
      </c>
      <c r="I48" s="11"/>
      <c r="J48" s="15" t="s">
        <v>21</v>
      </c>
      <c r="K48" s="17">
        <v>8888</v>
      </c>
      <c r="L48" s="18">
        <v>0.42</v>
      </c>
      <c r="M48" s="25">
        <f t="shared" si="2"/>
        <v>2100000</v>
      </c>
      <c r="N48" s="20">
        <f>+M48*C48</f>
        <v>1449000</v>
      </c>
    </row>
    <row r="49" spans="1:14" s="22" customFormat="1" x14ac:dyDescent="0.25">
      <c r="A49" s="11">
        <v>43452</v>
      </c>
      <c r="B49" s="12">
        <v>1506</v>
      </c>
      <c r="C49" s="13">
        <f>+N49/M49</f>
        <v>0.62056220891550229</v>
      </c>
      <c r="D49" s="14" t="s">
        <v>138</v>
      </c>
      <c r="E49" s="15">
        <v>1</v>
      </c>
      <c r="F49" s="15" t="s">
        <v>139</v>
      </c>
      <c r="G49" s="15" t="s">
        <v>140</v>
      </c>
      <c r="H49" s="27" t="s">
        <v>128</v>
      </c>
      <c r="I49" s="11"/>
      <c r="J49" s="15" t="s">
        <v>33</v>
      </c>
      <c r="K49" s="17">
        <v>500</v>
      </c>
      <c r="L49" s="18">
        <v>0.60119999999999996</v>
      </c>
      <c r="M49" s="25">
        <f t="shared" si="2"/>
        <v>601200</v>
      </c>
      <c r="N49" s="20">
        <f>372582+500</f>
        <v>373082</v>
      </c>
    </row>
    <row r="50" spans="1:14" s="22" customFormat="1" x14ac:dyDescent="0.25">
      <c r="A50" s="11">
        <v>43487</v>
      </c>
      <c r="B50" s="12">
        <v>1509</v>
      </c>
      <c r="C50" s="13">
        <v>0.64</v>
      </c>
      <c r="D50" s="14" t="s">
        <v>14</v>
      </c>
      <c r="E50" s="15">
        <v>2</v>
      </c>
      <c r="F50" s="15" t="s">
        <v>146</v>
      </c>
      <c r="G50" s="15" t="s">
        <v>147</v>
      </c>
      <c r="H50" s="27" t="s">
        <v>128</v>
      </c>
      <c r="I50" s="11"/>
      <c r="J50" s="15" t="s">
        <v>104</v>
      </c>
      <c r="K50" s="17">
        <v>5000</v>
      </c>
      <c r="L50" s="18">
        <v>0.5</v>
      </c>
      <c r="M50" s="25">
        <f t="shared" si="2"/>
        <v>1000000</v>
      </c>
      <c r="N50" s="20">
        <f t="shared" ref="N50:N61" si="3">+M50*C50</f>
        <v>640000</v>
      </c>
    </row>
    <row r="51" spans="1:14" s="22" customFormat="1" x14ac:dyDescent="0.25">
      <c r="A51" s="11">
        <v>43487</v>
      </c>
      <c r="B51" s="12">
        <v>1489</v>
      </c>
      <c r="C51" s="13">
        <v>0.68</v>
      </c>
      <c r="D51" s="14" t="s">
        <v>48</v>
      </c>
      <c r="E51" s="15">
        <v>3</v>
      </c>
      <c r="F51" s="15" t="s">
        <v>124</v>
      </c>
      <c r="G51" s="15" t="s">
        <v>125</v>
      </c>
      <c r="H51" s="27" t="s">
        <v>128</v>
      </c>
      <c r="I51" s="11"/>
      <c r="J51" s="15" t="s">
        <v>51</v>
      </c>
      <c r="K51" s="17">
        <v>10000</v>
      </c>
      <c r="L51" s="18">
        <v>0.54</v>
      </c>
      <c r="M51" s="25">
        <f t="shared" si="2"/>
        <v>1620000</v>
      </c>
      <c r="N51" s="20">
        <f t="shared" si="3"/>
        <v>1101600</v>
      </c>
    </row>
    <row r="52" spans="1:14" s="22" customFormat="1" x14ac:dyDescent="0.25">
      <c r="A52" s="11">
        <v>43487</v>
      </c>
      <c r="B52" s="12">
        <v>1498</v>
      </c>
      <c r="C52" s="13">
        <v>0.69</v>
      </c>
      <c r="D52" s="14" t="s">
        <v>14</v>
      </c>
      <c r="E52" s="15">
        <v>5</v>
      </c>
      <c r="F52" s="15" t="s">
        <v>134</v>
      </c>
      <c r="G52" s="15" t="s">
        <v>135</v>
      </c>
      <c r="H52" s="27" t="s">
        <v>128</v>
      </c>
      <c r="I52" s="11"/>
      <c r="J52" s="15" t="s">
        <v>21</v>
      </c>
      <c r="K52" s="17">
        <v>20000</v>
      </c>
      <c r="L52" s="18">
        <v>0.42</v>
      </c>
      <c r="M52" s="25">
        <f t="shared" si="2"/>
        <v>2100000</v>
      </c>
      <c r="N52" s="20">
        <f t="shared" si="3"/>
        <v>1449000</v>
      </c>
    </row>
    <row r="53" spans="1:14" s="22" customFormat="1" x14ac:dyDescent="0.25">
      <c r="A53" s="11"/>
      <c r="B53" s="12">
        <v>1516</v>
      </c>
      <c r="C53" s="13">
        <v>0.74</v>
      </c>
      <c r="D53" s="14" t="s">
        <v>14</v>
      </c>
      <c r="E53" s="24">
        <v>20</v>
      </c>
      <c r="F53" s="15" t="s">
        <v>154</v>
      </c>
      <c r="G53" s="15"/>
      <c r="H53" s="27" t="s">
        <v>128</v>
      </c>
      <c r="I53" s="11"/>
      <c r="J53" s="15"/>
      <c r="K53" s="17"/>
      <c r="L53" s="18">
        <v>0.18</v>
      </c>
      <c r="M53" s="19">
        <f t="shared" si="2"/>
        <v>3600000</v>
      </c>
      <c r="N53" s="20">
        <f t="shared" si="3"/>
        <v>2664000</v>
      </c>
    </row>
    <row r="54" spans="1:14" s="22" customFormat="1" x14ac:dyDescent="0.25">
      <c r="A54" s="11">
        <v>43487</v>
      </c>
      <c r="B54" s="12">
        <v>1502</v>
      </c>
      <c r="C54" s="13">
        <v>0.7</v>
      </c>
      <c r="D54" s="14" t="s">
        <v>14</v>
      </c>
      <c r="E54" s="23">
        <v>10</v>
      </c>
      <c r="F54" s="15" t="s">
        <v>129</v>
      </c>
      <c r="G54" s="15" t="s">
        <v>130</v>
      </c>
      <c r="H54" s="27" t="s">
        <v>151</v>
      </c>
      <c r="I54" s="11"/>
      <c r="J54" s="15" t="s">
        <v>21</v>
      </c>
      <c r="K54" s="17">
        <v>50000</v>
      </c>
      <c r="L54" s="18">
        <v>0.29399999999999998</v>
      </c>
      <c r="M54" s="19">
        <f t="shared" si="2"/>
        <v>2940000</v>
      </c>
      <c r="N54" s="20">
        <f t="shared" si="3"/>
        <v>2057999.9999999998</v>
      </c>
    </row>
    <row r="55" spans="1:14" s="22" customFormat="1" x14ac:dyDescent="0.25">
      <c r="A55" s="11">
        <v>43487</v>
      </c>
      <c r="B55" s="12">
        <v>1507</v>
      </c>
      <c r="C55" s="13">
        <v>0.62</v>
      </c>
      <c r="D55" s="14" t="s">
        <v>14</v>
      </c>
      <c r="E55" s="15">
        <v>1</v>
      </c>
      <c r="F55" s="15" t="s">
        <v>141</v>
      </c>
      <c r="G55" s="15" t="s">
        <v>142</v>
      </c>
      <c r="H55" s="27" t="s">
        <v>151</v>
      </c>
      <c r="I55" s="11"/>
      <c r="J55" s="15" t="s">
        <v>143</v>
      </c>
      <c r="K55" s="17">
        <v>500</v>
      </c>
      <c r="L55" s="18">
        <v>0.6</v>
      </c>
      <c r="M55" s="25">
        <f t="shared" si="2"/>
        <v>600000</v>
      </c>
      <c r="N55" s="20">
        <f t="shared" si="3"/>
        <v>372000</v>
      </c>
    </row>
    <row r="56" spans="1:14" s="22" customFormat="1" x14ac:dyDescent="0.25">
      <c r="A56" s="11"/>
      <c r="B56" s="12">
        <v>1510</v>
      </c>
      <c r="C56" s="13">
        <v>0.64</v>
      </c>
      <c r="D56" s="14" t="s">
        <v>14</v>
      </c>
      <c r="E56" s="15">
        <v>2</v>
      </c>
      <c r="F56" s="15" t="s">
        <v>148</v>
      </c>
      <c r="G56" s="15"/>
      <c r="H56" s="27" t="s">
        <v>151</v>
      </c>
      <c r="I56" s="11"/>
      <c r="J56" s="15"/>
      <c r="K56" s="17">
        <v>10000</v>
      </c>
      <c r="L56" s="18">
        <v>0.5</v>
      </c>
      <c r="M56" s="25">
        <f t="shared" si="2"/>
        <v>1000000</v>
      </c>
      <c r="N56" s="20">
        <f t="shared" si="3"/>
        <v>640000</v>
      </c>
    </row>
    <row r="57" spans="1:14" s="22" customFormat="1" x14ac:dyDescent="0.25">
      <c r="A57" s="11">
        <v>43487</v>
      </c>
      <c r="B57" s="12">
        <v>1499</v>
      </c>
      <c r="C57" s="13">
        <v>0.69</v>
      </c>
      <c r="D57" s="14" t="s">
        <v>14</v>
      </c>
      <c r="E57" s="15">
        <v>5</v>
      </c>
      <c r="F57" s="15" t="s">
        <v>136</v>
      </c>
      <c r="G57" s="15" t="s">
        <v>137</v>
      </c>
      <c r="H57" s="27" t="s">
        <v>151</v>
      </c>
      <c r="I57" s="11"/>
      <c r="J57" s="15" t="s">
        <v>55</v>
      </c>
      <c r="K57" s="17">
        <v>25000</v>
      </c>
      <c r="L57" s="18">
        <v>0.42</v>
      </c>
      <c r="M57" s="25">
        <f t="shared" si="2"/>
        <v>2100000</v>
      </c>
      <c r="N57" s="20">
        <f t="shared" si="3"/>
        <v>1449000</v>
      </c>
    </row>
    <row r="58" spans="1:14" s="22" customFormat="1" x14ac:dyDescent="0.25">
      <c r="A58" s="11"/>
      <c r="B58" s="12">
        <v>1508</v>
      </c>
      <c r="C58" s="13">
        <v>0.62</v>
      </c>
      <c r="D58" s="14" t="s">
        <v>14</v>
      </c>
      <c r="E58" s="15">
        <v>1</v>
      </c>
      <c r="F58" s="15" t="s">
        <v>144</v>
      </c>
      <c r="G58" s="15" t="s">
        <v>145</v>
      </c>
      <c r="H58" s="27" t="s">
        <v>149</v>
      </c>
      <c r="I58" s="11"/>
      <c r="J58" s="15" t="s">
        <v>17</v>
      </c>
      <c r="K58" s="17">
        <v>500</v>
      </c>
      <c r="L58" s="18">
        <v>0.6</v>
      </c>
      <c r="M58" s="25">
        <f t="shared" si="2"/>
        <v>600000</v>
      </c>
      <c r="N58" s="20">
        <f t="shared" si="3"/>
        <v>372000</v>
      </c>
    </row>
    <row r="59" spans="1:14" s="22" customFormat="1" x14ac:dyDescent="0.25">
      <c r="A59" s="11"/>
      <c r="B59" s="12">
        <v>1519</v>
      </c>
      <c r="C59" s="13">
        <v>0.68</v>
      </c>
      <c r="D59" s="14" t="s">
        <v>48</v>
      </c>
      <c r="E59" s="15">
        <v>3</v>
      </c>
      <c r="F59" s="15" t="s">
        <v>150</v>
      </c>
      <c r="G59" s="15"/>
      <c r="H59" s="27" t="s">
        <v>149</v>
      </c>
      <c r="I59" s="11"/>
      <c r="J59" s="15"/>
      <c r="K59" s="17">
        <v>10000</v>
      </c>
      <c r="L59" s="18">
        <v>0.54</v>
      </c>
      <c r="M59" s="25">
        <f t="shared" si="2"/>
        <v>1620000</v>
      </c>
      <c r="N59" s="20">
        <f t="shared" si="3"/>
        <v>1101600</v>
      </c>
    </row>
    <row r="60" spans="1:14" s="22" customFormat="1" x14ac:dyDescent="0.25">
      <c r="A60" s="11"/>
      <c r="B60" s="12">
        <v>1512</v>
      </c>
      <c r="C60" s="13">
        <v>0.69</v>
      </c>
      <c r="D60" s="14" t="s">
        <v>14</v>
      </c>
      <c r="E60" s="15">
        <v>5</v>
      </c>
      <c r="F60" s="15" t="s">
        <v>152</v>
      </c>
      <c r="G60" s="15"/>
      <c r="H60" s="27" t="s">
        <v>149</v>
      </c>
      <c r="I60" s="11"/>
      <c r="J60" s="15"/>
      <c r="K60" s="17">
        <v>20000</v>
      </c>
      <c r="L60" s="18">
        <v>0.42</v>
      </c>
      <c r="M60" s="25">
        <f t="shared" si="2"/>
        <v>2100000</v>
      </c>
      <c r="N60" s="20">
        <f t="shared" si="3"/>
        <v>1449000</v>
      </c>
    </row>
    <row r="61" spans="1:14" s="22" customFormat="1" x14ac:dyDescent="0.25">
      <c r="A61" s="11"/>
      <c r="B61" s="12">
        <v>1513</v>
      </c>
      <c r="C61" s="13">
        <v>0.69</v>
      </c>
      <c r="D61" s="14" t="s">
        <v>18</v>
      </c>
      <c r="E61" s="15">
        <v>5</v>
      </c>
      <c r="F61" s="15" t="s">
        <v>153</v>
      </c>
      <c r="G61" s="15"/>
      <c r="H61" s="27" t="s">
        <v>149</v>
      </c>
      <c r="I61" s="11"/>
      <c r="J61" s="15"/>
      <c r="K61" s="17">
        <v>25000</v>
      </c>
      <c r="L61" s="18">
        <v>0.42</v>
      </c>
      <c r="M61" s="25">
        <f t="shared" si="2"/>
        <v>2100000</v>
      </c>
      <c r="N61" s="20">
        <f t="shared" si="3"/>
        <v>1449000</v>
      </c>
    </row>
    <row r="65" spans="1:38" s="34" customFormat="1" x14ac:dyDescent="0.25">
      <c r="A65" s="37"/>
      <c r="B65" s="10"/>
      <c r="C65" s="32"/>
      <c r="D65" s="32"/>
      <c r="E65" s="22"/>
      <c r="F65" s="10"/>
      <c r="G65" s="33"/>
      <c r="H65" s="10"/>
      <c r="I65" s="10"/>
      <c r="J65" s="38"/>
      <c r="L65" s="36"/>
      <c r="M65" s="35"/>
      <c r="N65" s="35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</row>
  </sheetData>
  <conditionalFormatting sqref="E1:E1048576">
    <cfRule type="cellIs" dxfId="71" priority="74" stopIfTrue="1" operator="equal">
      <formula>2</formula>
    </cfRule>
    <cfRule type="cellIs" dxfId="70" priority="75" stopIfTrue="1" operator="equal">
      <formula>3</formula>
    </cfRule>
    <cfRule type="cellIs" dxfId="69" priority="76" stopIfTrue="1" operator="equal">
      <formula>5</formula>
    </cfRule>
  </conditionalFormatting>
  <conditionalFormatting sqref="A2:A61">
    <cfRule type="cellIs" dxfId="68" priority="73" stopIfTrue="1" operator="greaterThan">
      <formula>NOW()</formula>
    </cfRule>
  </conditionalFormatting>
  <conditionalFormatting sqref="A61">
    <cfRule type="cellIs" dxfId="67" priority="71" stopIfTrue="1" operator="greaterThan">
      <formula>NOW()</formula>
    </cfRule>
  </conditionalFormatting>
  <conditionalFormatting sqref="A41:A44">
    <cfRule type="cellIs" dxfId="66" priority="70" stopIfTrue="1" operator="greaterThan">
      <formula>NOW()</formula>
    </cfRule>
  </conditionalFormatting>
  <conditionalFormatting sqref="E18:E24">
    <cfRule type="cellIs" dxfId="65" priority="61" stopIfTrue="1" operator="equal">
      <formula>2</formula>
    </cfRule>
    <cfRule type="cellIs" dxfId="64" priority="62" stopIfTrue="1" operator="equal">
      <formula>3</formula>
    </cfRule>
    <cfRule type="cellIs" dxfId="63" priority="63" stopIfTrue="1" operator="equal">
      <formula>5</formula>
    </cfRule>
  </conditionalFormatting>
  <conditionalFormatting sqref="E18:E24">
    <cfRule type="cellIs" dxfId="62" priority="58" stopIfTrue="1" operator="equal">
      <formula>2</formula>
    </cfRule>
    <cfRule type="cellIs" dxfId="61" priority="59" stopIfTrue="1" operator="equal">
      <formula>3</formula>
    </cfRule>
    <cfRule type="cellIs" dxfId="60" priority="60" stopIfTrue="1" operator="equal">
      <formula>5</formula>
    </cfRule>
  </conditionalFormatting>
  <conditionalFormatting sqref="E41:E44">
    <cfRule type="cellIs" dxfId="59" priority="55" stopIfTrue="1" operator="equal">
      <formula>2</formula>
    </cfRule>
    <cfRule type="cellIs" dxfId="58" priority="56" stopIfTrue="1" operator="equal">
      <formula>3</formula>
    </cfRule>
    <cfRule type="cellIs" dxfId="57" priority="57" stopIfTrue="1" operator="equal">
      <formula>5</formula>
    </cfRule>
  </conditionalFormatting>
  <conditionalFormatting sqref="E41:E44">
    <cfRule type="cellIs" dxfId="56" priority="52" stopIfTrue="1" operator="equal">
      <formula>2</formula>
    </cfRule>
    <cfRule type="cellIs" dxfId="55" priority="53" stopIfTrue="1" operator="equal">
      <formula>3</formula>
    </cfRule>
    <cfRule type="cellIs" dxfId="54" priority="54" stopIfTrue="1" operator="equal">
      <formula>5</formula>
    </cfRule>
  </conditionalFormatting>
  <conditionalFormatting sqref="E32">
    <cfRule type="cellIs" dxfId="53" priority="49" stopIfTrue="1" operator="equal">
      <formula>2</formula>
    </cfRule>
    <cfRule type="cellIs" dxfId="52" priority="50" stopIfTrue="1" operator="equal">
      <formula>3</formula>
    </cfRule>
    <cfRule type="cellIs" dxfId="51" priority="51" stopIfTrue="1" operator="equal">
      <formula>5</formula>
    </cfRule>
  </conditionalFormatting>
  <conditionalFormatting sqref="A32">
    <cfRule type="cellIs" dxfId="50" priority="48" stopIfTrue="1" operator="greaterThan">
      <formula>NOW()</formula>
    </cfRule>
  </conditionalFormatting>
  <conditionalFormatting sqref="E32">
    <cfRule type="cellIs" dxfId="49" priority="45" stopIfTrue="1" operator="equal">
      <formula>2</formula>
    </cfRule>
    <cfRule type="cellIs" dxfId="48" priority="46" stopIfTrue="1" operator="equal">
      <formula>3</formula>
    </cfRule>
    <cfRule type="cellIs" dxfId="47" priority="47" stopIfTrue="1" operator="equal">
      <formula>5</formula>
    </cfRule>
  </conditionalFormatting>
  <conditionalFormatting sqref="A32">
    <cfRule type="cellIs" dxfId="46" priority="44" stopIfTrue="1" operator="greaterThan">
      <formula>NOW()</formula>
    </cfRule>
  </conditionalFormatting>
  <conditionalFormatting sqref="E32">
    <cfRule type="cellIs" dxfId="45" priority="41" stopIfTrue="1" operator="equal">
      <formula>2</formula>
    </cfRule>
    <cfRule type="cellIs" dxfId="44" priority="42" stopIfTrue="1" operator="equal">
      <formula>3</formula>
    </cfRule>
    <cfRule type="cellIs" dxfId="43" priority="43" stopIfTrue="1" operator="equal">
      <formula>5</formula>
    </cfRule>
  </conditionalFormatting>
  <conditionalFormatting sqref="E32">
    <cfRule type="cellIs" dxfId="42" priority="38" stopIfTrue="1" operator="equal">
      <formula>2</formula>
    </cfRule>
    <cfRule type="cellIs" dxfId="41" priority="39" stopIfTrue="1" operator="equal">
      <formula>3</formula>
    </cfRule>
    <cfRule type="cellIs" dxfId="40" priority="40" stopIfTrue="1" operator="equal">
      <formula>5</formula>
    </cfRule>
  </conditionalFormatting>
  <printOptions horizontalCentered="1"/>
  <pageMargins left="0.57999999999999996" right="0.65" top="1" bottom="0.79" header="0.5" footer="0.34"/>
  <pageSetup scale="78" fitToHeight="2" orientation="landscape" r:id="rId1"/>
  <headerFooter alignWithMargins="0">
    <oddHeader>&amp;C&amp;"Verdana,Bold"Vermont Lottery Game Schedule -- FY19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0F076-7305-4BF1-A484-1334DAF35FBA}">
  <sheetPr>
    <pageSetUpPr fitToPage="1"/>
  </sheetPr>
  <dimension ref="A1:N61"/>
  <sheetViews>
    <sheetView zoomScale="80" zoomScaleNormal="80" workbookViewId="0">
      <selection activeCell="G63" sqref="G63"/>
    </sheetView>
  </sheetViews>
  <sheetFormatPr defaultColWidth="8.88671875" defaultRowHeight="15.75" x14ac:dyDescent="0.25"/>
  <cols>
    <col min="1" max="1" width="10.44140625" style="37" customWidth="1"/>
    <col min="2" max="2" width="6.44140625" style="10" customWidth="1"/>
    <col min="3" max="4" width="8.6640625" style="32" customWidth="1"/>
    <col min="5" max="5" width="6.44140625" style="22" customWidth="1"/>
    <col min="6" max="6" width="25.6640625" style="10" customWidth="1"/>
    <col min="7" max="7" width="11.6640625" style="33" customWidth="1"/>
    <col min="8" max="8" width="14.21875" style="10" customWidth="1"/>
    <col min="9" max="9" width="10" style="10" customWidth="1"/>
    <col min="10" max="10" width="12.21875" style="33" customWidth="1"/>
    <col min="11" max="11" width="11.88671875" style="34" customWidth="1"/>
    <col min="12" max="12" width="7.6640625" style="36" customWidth="1"/>
    <col min="13" max="13" width="14.21875" style="35" customWidth="1"/>
    <col min="14" max="14" width="12.88671875" style="41" customWidth="1"/>
    <col min="15" max="16384" width="8.88671875" style="10"/>
  </cols>
  <sheetData>
    <row r="1" spans="1:14" ht="32.25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1" t="s">
        <v>7</v>
      </c>
      <c r="I1" s="1" t="s">
        <v>8</v>
      </c>
      <c r="J1" s="7" t="s">
        <v>9</v>
      </c>
      <c r="K1" s="8" t="s">
        <v>10</v>
      </c>
      <c r="L1" s="9" t="s">
        <v>11</v>
      </c>
      <c r="M1" s="8" t="s">
        <v>12</v>
      </c>
      <c r="N1" s="40" t="s">
        <v>13</v>
      </c>
    </row>
    <row r="2" spans="1:14" s="22" customFormat="1" x14ac:dyDescent="0.25">
      <c r="A2" s="11">
        <v>42885</v>
      </c>
      <c r="B2" s="12">
        <v>1428</v>
      </c>
      <c r="C2" s="13">
        <f t="shared" ref="C2:C33" si="0">+N2/M2</f>
        <v>0.73891625119605175</v>
      </c>
      <c r="D2" s="14" t="s">
        <v>155</v>
      </c>
      <c r="E2" s="15">
        <v>1</v>
      </c>
      <c r="F2" s="15" t="s">
        <v>156</v>
      </c>
      <c r="G2" s="15" t="s">
        <v>157</v>
      </c>
      <c r="H2" s="16">
        <v>42923</v>
      </c>
      <c r="I2" s="11">
        <v>43335</v>
      </c>
      <c r="J2" s="15" t="s">
        <v>17</v>
      </c>
      <c r="K2" s="17">
        <v>4000</v>
      </c>
      <c r="L2" s="18">
        <v>0.99285000000000001</v>
      </c>
      <c r="M2" s="19">
        <f t="shared" ref="M2:M33" si="1">(L2*1000000)*E2</f>
        <v>992850</v>
      </c>
      <c r="N2" s="20">
        <v>733633</v>
      </c>
    </row>
    <row r="3" spans="1:14" s="22" customFormat="1" x14ac:dyDescent="0.25">
      <c r="A3" s="11">
        <v>42885</v>
      </c>
      <c r="B3" s="12">
        <v>1429</v>
      </c>
      <c r="C3" s="13">
        <f t="shared" si="0"/>
        <v>0.74794379084967322</v>
      </c>
      <c r="D3" s="14" t="s">
        <v>155</v>
      </c>
      <c r="E3" s="15">
        <v>2</v>
      </c>
      <c r="F3" s="15" t="s">
        <v>156</v>
      </c>
      <c r="G3" s="15" t="s">
        <v>157</v>
      </c>
      <c r="H3" s="16">
        <v>42923</v>
      </c>
      <c r="I3" s="11">
        <v>43299</v>
      </c>
      <c r="J3" s="15" t="s">
        <v>17</v>
      </c>
      <c r="K3" s="17">
        <v>8000</v>
      </c>
      <c r="L3" s="18">
        <v>0.76500000000000001</v>
      </c>
      <c r="M3" s="19">
        <f t="shared" si="1"/>
        <v>1530000</v>
      </c>
      <c r="N3" s="20">
        <v>1144354</v>
      </c>
    </row>
    <row r="4" spans="1:14" s="22" customFormat="1" x14ac:dyDescent="0.25">
      <c r="A4" s="11">
        <v>42885</v>
      </c>
      <c r="B4" s="12">
        <v>1430</v>
      </c>
      <c r="C4" s="13">
        <f t="shared" si="0"/>
        <v>0.75969009064848536</v>
      </c>
      <c r="D4" s="14" t="s">
        <v>155</v>
      </c>
      <c r="E4" s="15">
        <v>5</v>
      </c>
      <c r="F4" s="15" t="s">
        <v>156</v>
      </c>
      <c r="G4" s="15" t="s">
        <v>157</v>
      </c>
      <c r="H4" s="16">
        <v>42923</v>
      </c>
      <c r="I4" s="11">
        <v>43362</v>
      </c>
      <c r="J4" s="15" t="s">
        <v>17</v>
      </c>
      <c r="K4" s="17">
        <v>25000</v>
      </c>
      <c r="L4" s="18">
        <f>0.6732+0.294825</f>
        <v>0.96802500000000002</v>
      </c>
      <c r="M4" s="19">
        <f t="shared" si="1"/>
        <v>4840125</v>
      </c>
      <c r="N4" s="20">
        <f>2555550+1121445</f>
        <v>3676995</v>
      </c>
    </row>
    <row r="5" spans="1:14" s="22" customFormat="1" x14ac:dyDescent="0.25">
      <c r="A5" s="11">
        <v>42885</v>
      </c>
      <c r="B5" s="12">
        <v>1412</v>
      </c>
      <c r="C5" s="13">
        <f t="shared" si="0"/>
        <v>0.68901960784313721</v>
      </c>
      <c r="D5" s="14" t="s">
        <v>14</v>
      </c>
      <c r="E5" s="15">
        <v>5</v>
      </c>
      <c r="F5" s="15" t="s">
        <v>158</v>
      </c>
      <c r="G5" s="15" t="s">
        <v>110</v>
      </c>
      <c r="H5" s="16">
        <v>42923</v>
      </c>
      <c r="I5" s="11">
        <v>43264</v>
      </c>
      <c r="J5" s="15" t="s">
        <v>17</v>
      </c>
      <c r="K5" s="17">
        <v>25000</v>
      </c>
      <c r="L5" s="18">
        <v>0.33660000000000001</v>
      </c>
      <c r="M5" s="19">
        <f t="shared" si="1"/>
        <v>1683000</v>
      </c>
      <c r="N5" s="20">
        <f>1134620+25000</f>
        <v>1159620</v>
      </c>
    </row>
    <row r="6" spans="1:14" s="22" customFormat="1" x14ac:dyDescent="0.25">
      <c r="A6" s="11">
        <v>42885</v>
      </c>
      <c r="B6" s="12">
        <v>1431</v>
      </c>
      <c r="C6" s="13">
        <f t="shared" si="0"/>
        <v>0.78035318211677418</v>
      </c>
      <c r="D6" s="14" t="s">
        <v>155</v>
      </c>
      <c r="E6" s="23">
        <v>10</v>
      </c>
      <c r="F6" s="15" t="s">
        <v>156</v>
      </c>
      <c r="G6" s="15" t="s">
        <v>157</v>
      </c>
      <c r="H6" s="16">
        <v>42923</v>
      </c>
      <c r="I6" s="11">
        <v>43311</v>
      </c>
      <c r="J6" s="15" t="s">
        <v>17</v>
      </c>
      <c r="K6" s="17">
        <v>40000</v>
      </c>
      <c r="L6" s="18">
        <f>0.44947+0.197505</f>
        <v>0.64697499999999997</v>
      </c>
      <c r="M6" s="19">
        <f t="shared" si="1"/>
        <v>6469750</v>
      </c>
      <c r="N6" s="20">
        <f>3499790+1548900</f>
        <v>5048690</v>
      </c>
    </row>
    <row r="7" spans="1:14" s="22" customFormat="1" x14ac:dyDescent="0.25">
      <c r="A7" s="11">
        <v>42759</v>
      </c>
      <c r="B7" s="12">
        <v>1382</v>
      </c>
      <c r="C7" s="13">
        <f t="shared" si="0"/>
        <v>0.70091269014377999</v>
      </c>
      <c r="D7" s="14" t="s">
        <v>40</v>
      </c>
      <c r="E7" s="23">
        <v>10</v>
      </c>
      <c r="F7" s="15" t="s">
        <v>159</v>
      </c>
      <c r="G7" s="15" t="s">
        <v>160</v>
      </c>
      <c r="H7" s="16">
        <v>42923</v>
      </c>
      <c r="I7" s="11">
        <v>43189</v>
      </c>
      <c r="J7" s="15" t="s">
        <v>161</v>
      </c>
      <c r="K7" s="17">
        <v>50000</v>
      </c>
      <c r="L7" s="18">
        <v>0.23995</v>
      </c>
      <c r="M7" s="19">
        <f t="shared" si="1"/>
        <v>2399500</v>
      </c>
      <c r="N7" s="20">
        <f>1631840+50000</f>
        <v>1681840</v>
      </c>
    </row>
    <row r="8" spans="1:14" s="22" customFormat="1" x14ac:dyDescent="0.25">
      <c r="A8" s="11">
        <v>42850</v>
      </c>
      <c r="B8" s="12">
        <v>1379</v>
      </c>
      <c r="C8" s="13">
        <f t="shared" si="0"/>
        <v>0.67935423121317051</v>
      </c>
      <c r="D8" s="14" t="s">
        <v>78</v>
      </c>
      <c r="E8" s="15">
        <v>3</v>
      </c>
      <c r="F8" s="15" t="s">
        <v>162</v>
      </c>
      <c r="G8" s="15" t="s">
        <v>163</v>
      </c>
      <c r="H8" s="16">
        <v>42951</v>
      </c>
      <c r="I8" s="11">
        <v>43270</v>
      </c>
      <c r="J8" s="15" t="s">
        <v>51</v>
      </c>
      <c r="K8" s="17">
        <v>15000</v>
      </c>
      <c r="L8" s="18">
        <v>0.54869999999999997</v>
      </c>
      <c r="M8" s="19">
        <f t="shared" si="1"/>
        <v>1646100</v>
      </c>
      <c r="N8" s="20">
        <f>1103285+15000</f>
        <v>1118285</v>
      </c>
    </row>
    <row r="9" spans="1:14" x14ac:dyDescent="0.25">
      <c r="A9" s="16">
        <v>42794</v>
      </c>
      <c r="B9" s="12">
        <v>1399</v>
      </c>
      <c r="C9" s="13">
        <f t="shared" si="0"/>
        <v>0.67930610991710161</v>
      </c>
      <c r="D9" s="28" t="s">
        <v>78</v>
      </c>
      <c r="E9" s="29">
        <v>3</v>
      </c>
      <c r="F9" s="29" t="s">
        <v>164</v>
      </c>
      <c r="G9" s="29" t="s">
        <v>165</v>
      </c>
      <c r="H9" s="16">
        <v>42951</v>
      </c>
      <c r="I9" s="16">
        <v>43327</v>
      </c>
      <c r="J9" s="29" t="s">
        <v>166</v>
      </c>
      <c r="K9" s="21">
        <v>15000</v>
      </c>
      <c r="L9" s="30">
        <v>0.48854999999999998</v>
      </c>
      <c r="M9" s="19">
        <f t="shared" si="1"/>
        <v>1465650</v>
      </c>
      <c r="N9" s="20">
        <f>980625+15000</f>
        <v>995625</v>
      </c>
    </row>
    <row r="10" spans="1:14" s="22" customFormat="1" x14ac:dyDescent="0.25">
      <c r="A10" s="11">
        <v>42913</v>
      </c>
      <c r="B10" s="12">
        <v>1415</v>
      </c>
      <c r="C10" s="13">
        <f t="shared" si="0"/>
        <v>0.69044622697563873</v>
      </c>
      <c r="D10" s="14" t="s">
        <v>40</v>
      </c>
      <c r="E10" s="15">
        <v>5</v>
      </c>
      <c r="F10" s="15" t="s">
        <v>167</v>
      </c>
      <c r="G10" s="15" t="s">
        <v>168</v>
      </c>
      <c r="H10" s="16">
        <v>42951</v>
      </c>
      <c r="I10" s="11">
        <v>43292</v>
      </c>
      <c r="J10" s="15" t="s">
        <v>169</v>
      </c>
      <c r="K10" s="17">
        <v>7777</v>
      </c>
      <c r="L10" s="18">
        <v>0.33660000000000001</v>
      </c>
      <c r="M10" s="19">
        <f t="shared" si="1"/>
        <v>1683000</v>
      </c>
      <c r="N10" s="20">
        <f>1154244+7777</f>
        <v>1162021</v>
      </c>
    </row>
    <row r="11" spans="1:14" s="22" customFormat="1" x14ac:dyDescent="0.25">
      <c r="A11" s="11">
        <v>42913</v>
      </c>
      <c r="B11" s="12">
        <v>1421</v>
      </c>
      <c r="C11" s="13">
        <f t="shared" si="0"/>
        <v>0.68967320261437903</v>
      </c>
      <c r="D11" s="14" t="s">
        <v>14</v>
      </c>
      <c r="E11" s="15">
        <v>5</v>
      </c>
      <c r="F11" s="15" t="s">
        <v>170</v>
      </c>
      <c r="G11" s="15" t="s">
        <v>171</v>
      </c>
      <c r="H11" s="16">
        <v>42951</v>
      </c>
      <c r="I11" s="11">
        <v>43311</v>
      </c>
      <c r="J11" s="15" t="s">
        <v>172</v>
      </c>
      <c r="K11" s="17">
        <v>25000</v>
      </c>
      <c r="L11" s="18">
        <v>0.33660000000000001</v>
      </c>
      <c r="M11" s="19">
        <f t="shared" si="1"/>
        <v>1683000</v>
      </c>
      <c r="N11" s="20">
        <f>1135720+25000</f>
        <v>1160720</v>
      </c>
    </row>
    <row r="12" spans="1:14" s="22" customFormat="1" x14ac:dyDescent="0.25">
      <c r="A12" s="11">
        <v>42759</v>
      </c>
      <c r="B12" s="12">
        <v>1384</v>
      </c>
      <c r="C12" s="13">
        <f t="shared" si="0"/>
        <v>0.6201862745098039</v>
      </c>
      <c r="D12" s="14" t="s">
        <v>14</v>
      </c>
      <c r="E12" s="15">
        <v>1</v>
      </c>
      <c r="F12" s="15" t="s">
        <v>131</v>
      </c>
      <c r="G12" s="15" t="s">
        <v>132</v>
      </c>
      <c r="H12" s="16">
        <v>42979</v>
      </c>
      <c r="I12" s="11"/>
      <c r="J12" s="15" t="s">
        <v>173</v>
      </c>
      <c r="K12" s="17">
        <v>1500</v>
      </c>
      <c r="L12" s="18">
        <v>0.61199999999999999</v>
      </c>
      <c r="M12" s="19">
        <f t="shared" si="1"/>
        <v>612000</v>
      </c>
      <c r="N12" s="20">
        <f>378054+1500</f>
        <v>379554</v>
      </c>
    </row>
    <row r="13" spans="1:14" s="22" customFormat="1" x14ac:dyDescent="0.25">
      <c r="A13" s="11">
        <v>42913</v>
      </c>
      <c r="B13" s="12">
        <v>1414</v>
      </c>
      <c r="C13" s="13">
        <f t="shared" si="0"/>
        <v>0.69204369594902138</v>
      </c>
      <c r="D13" s="14" t="s">
        <v>40</v>
      </c>
      <c r="E13" s="15">
        <v>5</v>
      </c>
      <c r="F13" s="15" t="s">
        <v>174</v>
      </c>
      <c r="G13" s="15" t="s">
        <v>175</v>
      </c>
      <c r="H13" s="16">
        <v>42979</v>
      </c>
      <c r="I13" s="11">
        <v>43277</v>
      </c>
      <c r="J13" s="15" t="s">
        <v>104</v>
      </c>
      <c r="K13" s="17">
        <v>20000</v>
      </c>
      <c r="L13" s="18">
        <v>0.32955000000000001</v>
      </c>
      <c r="M13" s="19">
        <f t="shared" si="1"/>
        <v>1647750</v>
      </c>
      <c r="N13" s="20">
        <f>1120315+20000</f>
        <v>1140315</v>
      </c>
    </row>
    <row r="14" spans="1:14" s="22" customFormat="1" x14ac:dyDescent="0.25">
      <c r="A14" s="11">
        <v>42913</v>
      </c>
      <c r="B14" s="12">
        <v>1413</v>
      </c>
      <c r="C14" s="13">
        <f t="shared" si="0"/>
        <v>0.6901633986928104</v>
      </c>
      <c r="D14" s="14" t="s">
        <v>14</v>
      </c>
      <c r="E14" s="15">
        <v>5</v>
      </c>
      <c r="F14" s="15" t="s">
        <v>176</v>
      </c>
      <c r="G14" s="15" t="s">
        <v>177</v>
      </c>
      <c r="H14" s="16">
        <v>42979</v>
      </c>
      <c r="I14" s="11">
        <v>43327</v>
      </c>
      <c r="J14" s="15" t="s">
        <v>17</v>
      </c>
      <c r="K14" s="17">
        <v>20000</v>
      </c>
      <c r="L14" s="18">
        <v>0.33660000000000001</v>
      </c>
      <c r="M14" s="19">
        <f t="shared" si="1"/>
        <v>1683000</v>
      </c>
      <c r="N14" s="20">
        <f>1141545+20000</f>
        <v>1161545</v>
      </c>
    </row>
    <row r="15" spans="1:14" s="22" customFormat="1" x14ac:dyDescent="0.25">
      <c r="A15" s="11">
        <v>42941</v>
      </c>
      <c r="B15" s="12">
        <v>1420</v>
      </c>
      <c r="C15" s="13">
        <f t="shared" si="0"/>
        <v>0.68964943553178848</v>
      </c>
      <c r="D15" s="14" t="s">
        <v>34</v>
      </c>
      <c r="E15" s="15">
        <v>5</v>
      </c>
      <c r="F15" s="15" t="s">
        <v>178</v>
      </c>
      <c r="G15" s="15" t="s">
        <v>179</v>
      </c>
      <c r="H15" s="16">
        <v>42979</v>
      </c>
      <c r="I15" s="11">
        <v>43277</v>
      </c>
      <c r="J15" s="15" t="s">
        <v>17</v>
      </c>
      <c r="K15" s="17">
        <v>20000</v>
      </c>
      <c r="L15" s="18">
        <v>0.33660000000000001</v>
      </c>
      <c r="M15" s="19">
        <f t="shared" si="1"/>
        <v>1683000</v>
      </c>
      <c r="N15" s="20">
        <f>1140680+20000</f>
        <v>1160680</v>
      </c>
    </row>
    <row r="16" spans="1:14" s="22" customFormat="1" x14ac:dyDescent="0.25">
      <c r="A16" s="11">
        <v>42822</v>
      </c>
      <c r="B16" s="12">
        <v>1392</v>
      </c>
      <c r="C16" s="13">
        <f t="shared" si="0"/>
        <v>0.69910579087374669</v>
      </c>
      <c r="D16" s="14" t="s">
        <v>14</v>
      </c>
      <c r="E16" s="23">
        <v>10</v>
      </c>
      <c r="F16" s="15" t="s">
        <v>180</v>
      </c>
      <c r="G16" s="15" t="s">
        <v>181</v>
      </c>
      <c r="H16" s="16">
        <v>42979</v>
      </c>
      <c r="I16" s="11">
        <v>43381</v>
      </c>
      <c r="J16" s="15" t="s">
        <v>17</v>
      </c>
      <c r="K16" s="17">
        <v>10000</v>
      </c>
      <c r="L16" s="18">
        <v>0.24435000000000001</v>
      </c>
      <c r="M16" s="19">
        <f t="shared" si="1"/>
        <v>2443500</v>
      </c>
      <c r="N16" s="20">
        <f>1698265+10000</f>
        <v>1708265</v>
      </c>
    </row>
    <row r="17" spans="1:14" x14ac:dyDescent="0.25">
      <c r="A17" s="16">
        <v>42913</v>
      </c>
      <c r="B17" s="31">
        <v>1408</v>
      </c>
      <c r="C17" s="13">
        <f t="shared" si="0"/>
        <v>0.63958710184821066</v>
      </c>
      <c r="D17" s="28" t="s">
        <v>30</v>
      </c>
      <c r="E17" s="15">
        <v>2</v>
      </c>
      <c r="F17" s="29" t="s">
        <v>182</v>
      </c>
      <c r="G17" s="29" t="s">
        <v>183</v>
      </c>
      <c r="H17" s="16">
        <v>43014</v>
      </c>
      <c r="I17" s="16">
        <v>43460</v>
      </c>
      <c r="J17" s="29" t="s">
        <v>17</v>
      </c>
      <c r="K17" s="21">
        <v>5000</v>
      </c>
      <c r="L17" s="18">
        <v>0.50860000000000005</v>
      </c>
      <c r="M17" s="19">
        <f t="shared" si="1"/>
        <v>1017200.0000000001</v>
      </c>
      <c r="N17" s="20">
        <f>645588+5000</f>
        <v>650588</v>
      </c>
    </row>
    <row r="18" spans="1:14" s="22" customFormat="1" x14ac:dyDescent="0.25">
      <c r="A18" s="11">
        <v>42976</v>
      </c>
      <c r="B18" s="12">
        <v>1423</v>
      </c>
      <c r="C18" s="13">
        <f t="shared" si="0"/>
        <v>0.69003538890143812</v>
      </c>
      <c r="D18" s="14" t="s">
        <v>40</v>
      </c>
      <c r="E18" s="15">
        <v>5</v>
      </c>
      <c r="F18" s="15" t="s">
        <v>184</v>
      </c>
      <c r="G18" s="15" t="s">
        <v>185</v>
      </c>
      <c r="H18" s="16">
        <v>43014</v>
      </c>
      <c r="I18" s="11">
        <v>43381</v>
      </c>
      <c r="J18" s="15" t="s">
        <v>186</v>
      </c>
      <c r="K18" s="17">
        <v>5555</v>
      </c>
      <c r="L18" s="18">
        <v>0.33202500000000001</v>
      </c>
      <c r="M18" s="19">
        <f t="shared" si="1"/>
        <v>1660125</v>
      </c>
      <c r="N18" s="20">
        <f>1139990+5555</f>
        <v>1145545</v>
      </c>
    </row>
    <row r="19" spans="1:14" s="22" customFormat="1" x14ac:dyDescent="0.25">
      <c r="A19" s="11">
        <v>42941</v>
      </c>
      <c r="B19" s="12">
        <v>1418</v>
      </c>
      <c r="C19" s="13">
        <f t="shared" si="0"/>
        <v>0.73627042483660132</v>
      </c>
      <c r="D19" s="14" t="s">
        <v>14</v>
      </c>
      <c r="E19" s="24">
        <v>20</v>
      </c>
      <c r="F19" s="15" t="s">
        <v>187</v>
      </c>
      <c r="G19" s="15" t="s">
        <v>188</v>
      </c>
      <c r="H19" s="16">
        <v>43014</v>
      </c>
      <c r="I19" s="11">
        <v>43347</v>
      </c>
      <c r="J19" s="15" t="s">
        <v>29</v>
      </c>
      <c r="K19" s="17">
        <v>123456</v>
      </c>
      <c r="L19" s="18">
        <v>0.18360000000000001</v>
      </c>
      <c r="M19" s="19">
        <f t="shared" si="1"/>
        <v>3672000</v>
      </c>
      <c r="N19" s="20">
        <f>2580129+123456</f>
        <v>2703585</v>
      </c>
    </row>
    <row r="20" spans="1:14" s="22" customFormat="1" x14ac:dyDescent="0.25">
      <c r="A20" s="11">
        <v>42990</v>
      </c>
      <c r="B20" s="12">
        <v>1433</v>
      </c>
      <c r="C20" s="13">
        <f t="shared" si="0"/>
        <v>0.70072723925250846</v>
      </c>
      <c r="D20" s="14" t="s">
        <v>64</v>
      </c>
      <c r="E20" s="15">
        <v>1</v>
      </c>
      <c r="F20" s="39" t="s">
        <v>189</v>
      </c>
      <c r="G20" s="15" t="s">
        <v>66</v>
      </c>
      <c r="H20" s="16">
        <v>43028</v>
      </c>
      <c r="I20" s="11">
        <v>43375</v>
      </c>
      <c r="J20" s="15" t="s">
        <v>33</v>
      </c>
      <c r="K20" s="17">
        <v>500</v>
      </c>
      <c r="L20" s="18">
        <v>0.54315000000000002</v>
      </c>
      <c r="M20" s="19">
        <f t="shared" si="1"/>
        <v>543150</v>
      </c>
      <c r="N20" s="20">
        <f>380100+500</f>
        <v>380600</v>
      </c>
    </row>
    <row r="21" spans="1:14" s="22" customFormat="1" x14ac:dyDescent="0.25">
      <c r="A21" s="11">
        <v>42990</v>
      </c>
      <c r="B21" s="12">
        <v>1435</v>
      </c>
      <c r="C21" s="13">
        <f t="shared" si="0"/>
        <v>0.71941631850577537</v>
      </c>
      <c r="D21" s="14" t="s">
        <v>64</v>
      </c>
      <c r="E21" s="15">
        <v>2</v>
      </c>
      <c r="F21" s="15" t="s">
        <v>190</v>
      </c>
      <c r="G21" s="15" t="s">
        <v>73</v>
      </c>
      <c r="H21" s="16">
        <v>43028</v>
      </c>
      <c r="I21" s="11">
        <v>43277</v>
      </c>
      <c r="J21" s="15" t="s">
        <v>191</v>
      </c>
      <c r="K21" s="17">
        <v>5000</v>
      </c>
      <c r="L21" s="18">
        <v>0.40689999999999998</v>
      </c>
      <c r="M21" s="19">
        <f t="shared" si="1"/>
        <v>813800</v>
      </c>
      <c r="N21" s="20">
        <f>580461+5000</f>
        <v>585461</v>
      </c>
    </row>
    <row r="22" spans="1:14" s="22" customFormat="1" x14ac:dyDescent="0.25">
      <c r="A22" s="11">
        <v>42976</v>
      </c>
      <c r="B22" s="12">
        <v>1439</v>
      </c>
      <c r="C22" s="13">
        <f t="shared" si="0"/>
        <v>0.67946017913338175</v>
      </c>
      <c r="D22" s="14" t="s">
        <v>48</v>
      </c>
      <c r="E22" s="15">
        <v>3</v>
      </c>
      <c r="F22" s="15" t="s">
        <v>192</v>
      </c>
      <c r="G22" s="15" t="s">
        <v>110</v>
      </c>
      <c r="H22" s="16">
        <v>43028</v>
      </c>
      <c r="I22" s="11">
        <v>43264</v>
      </c>
      <c r="J22" s="15" t="s">
        <v>48</v>
      </c>
      <c r="K22" s="17">
        <v>10000</v>
      </c>
      <c r="L22" s="18">
        <v>0.55079999999999996</v>
      </c>
      <c r="M22" s="19">
        <f t="shared" si="1"/>
        <v>1652400</v>
      </c>
      <c r="N22" s="20">
        <f>1112740+10000</f>
        <v>1122740</v>
      </c>
    </row>
    <row r="23" spans="1:14" s="22" customFormat="1" x14ac:dyDescent="0.25">
      <c r="A23" s="11">
        <v>42990</v>
      </c>
      <c r="B23" s="12">
        <v>1437</v>
      </c>
      <c r="C23" s="13">
        <f t="shared" si="0"/>
        <v>0.72024434719183072</v>
      </c>
      <c r="D23" s="14" t="s">
        <v>64</v>
      </c>
      <c r="E23" s="15">
        <v>5</v>
      </c>
      <c r="F23" s="15" t="s">
        <v>193</v>
      </c>
      <c r="G23" s="15" t="s">
        <v>194</v>
      </c>
      <c r="H23" s="16">
        <v>43028</v>
      </c>
      <c r="I23" s="11">
        <v>43235</v>
      </c>
      <c r="J23" s="15" t="s">
        <v>17</v>
      </c>
      <c r="K23" s="17">
        <v>5000</v>
      </c>
      <c r="L23" s="18">
        <v>0.2742</v>
      </c>
      <c r="M23" s="19">
        <f t="shared" si="1"/>
        <v>1371000</v>
      </c>
      <c r="N23" s="20">
        <f>982455+5000</f>
        <v>987455</v>
      </c>
    </row>
    <row r="24" spans="1:14" s="22" customFormat="1" x14ac:dyDescent="0.25">
      <c r="A24" s="11">
        <v>42990</v>
      </c>
      <c r="B24" s="12">
        <v>1425</v>
      </c>
      <c r="C24" s="13">
        <f t="shared" si="0"/>
        <v>0.73824929971988795</v>
      </c>
      <c r="D24" s="14" t="s">
        <v>64</v>
      </c>
      <c r="E24" s="23">
        <v>10</v>
      </c>
      <c r="F24" s="15" t="s">
        <v>195</v>
      </c>
      <c r="G24" s="15" t="s">
        <v>196</v>
      </c>
      <c r="H24" s="16">
        <v>43028</v>
      </c>
      <c r="I24" s="11">
        <v>43292</v>
      </c>
      <c r="J24" s="15" t="s">
        <v>17</v>
      </c>
      <c r="K24" s="17">
        <v>50000</v>
      </c>
      <c r="L24" s="18">
        <v>0.24990000000000001</v>
      </c>
      <c r="M24" s="19">
        <f t="shared" si="1"/>
        <v>2499000</v>
      </c>
      <c r="N24" s="20">
        <f>1794885+50000</f>
        <v>1844885</v>
      </c>
    </row>
    <row r="25" spans="1:14" s="22" customFormat="1" x14ac:dyDescent="0.25">
      <c r="A25" s="11">
        <v>43032</v>
      </c>
      <c r="B25" s="12">
        <v>1434</v>
      </c>
      <c r="C25" s="13">
        <f t="shared" si="0"/>
        <v>0.699241103848947</v>
      </c>
      <c r="D25" s="14" t="s">
        <v>64</v>
      </c>
      <c r="E25" s="15">
        <v>1</v>
      </c>
      <c r="F25" s="15" t="s">
        <v>197</v>
      </c>
      <c r="G25" s="15" t="s">
        <v>198</v>
      </c>
      <c r="H25" s="16">
        <v>43070</v>
      </c>
      <c r="I25" s="11">
        <v>43381</v>
      </c>
      <c r="J25" s="15" t="s">
        <v>55</v>
      </c>
      <c r="K25" s="17">
        <v>1000</v>
      </c>
      <c r="L25" s="18">
        <v>0.55079999999999996</v>
      </c>
      <c r="M25" s="19">
        <f t="shared" si="1"/>
        <v>550800</v>
      </c>
      <c r="N25" s="20">
        <f>384142+1000</f>
        <v>385142</v>
      </c>
    </row>
    <row r="26" spans="1:14" s="22" customFormat="1" x14ac:dyDescent="0.25">
      <c r="A26" s="11">
        <v>43032</v>
      </c>
      <c r="B26" s="12">
        <v>1436</v>
      </c>
      <c r="C26" s="13">
        <f t="shared" si="0"/>
        <v>0.71974264705882351</v>
      </c>
      <c r="D26" s="14" t="s">
        <v>64</v>
      </c>
      <c r="E26" s="15">
        <v>2</v>
      </c>
      <c r="F26" s="15" t="s">
        <v>199</v>
      </c>
      <c r="G26" s="15" t="s">
        <v>87</v>
      </c>
      <c r="H26" s="16">
        <v>43070</v>
      </c>
      <c r="I26" s="11">
        <v>43375</v>
      </c>
      <c r="J26" s="15" t="s">
        <v>200</v>
      </c>
      <c r="K26" s="17">
        <v>2500</v>
      </c>
      <c r="L26" s="18">
        <v>0.40799999999999997</v>
      </c>
      <c r="M26" s="19">
        <f t="shared" si="1"/>
        <v>816000</v>
      </c>
      <c r="N26" s="20">
        <f>584810+2500</f>
        <v>587310</v>
      </c>
    </row>
    <row r="27" spans="1:14" s="22" customFormat="1" x14ac:dyDescent="0.25">
      <c r="A27" s="11">
        <v>43032</v>
      </c>
      <c r="B27" s="12">
        <v>1438</v>
      </c>
      <c r="C27" s="13">
        <f t="shared" si="0"/>
        <v>0.72014891491873245</v>
      </c>
      <c r="D27" s="14" t="s">
        <v>64</v>
      </c>
      <c r="E27" s="15">
        <v>5</v>
      </c>
      <c r="F27" s="15" t="s">
        <v>201</v>
      </c>
      <c r="G27" s="15" t="s">
        <v>202</v>
      </c>
      <c r="H27" s="16">
        <v>43070</v>
      </c>
      <c r="I27" s="11">
        <v>43327</v>
      </c>
      <c r="J27" s="15" t="s">
        <v>17</v>
      </c>
      <c r="K27" s="17">
        <v>10000</v>
      </c>
      <c r="L27" s="18">
        <v>0.27532499999999999</v>
      </c>
      <c r="M27" s="19">
        <f t="shared" si="1"/>
        <v>1376625</v>
      </c>
      <c r="N27" s="20">
        <f>981375+10000</f>
        <v>991375</v>
      </c>
    </row>
    <row r="28" spans="1:14" s="22" customFormat="1" x14ac:dyDescent="0.25">
      <c r="A28" s="11">
        <v>42976</v>
      </c>
      <c r="B28" s="12">
        <v>1422</v>
      </c>
      <c r="C28" s="13">
        <f t="shared" si="0"/>
        <v>0.69097680097680103</v>
      </c>
      <c r="D28" s="14" t="s">
        <v>14</v>
      </c>
      <c r="E28" s="15">
        <v>5</v>
      </c>
      <c r="F28" s="15" t="s">
        <v>92</v>
      </c>
      <c r="G28" s="15" t="s">
        <v>203</v>
      </c>
      <c r="H28" s="16">
        <v>43070</v>
      </c>
      <c r="I28" s="11">
        <v>43375</v>
      </c>
      <c r="J28" s="15" t="s">
        <v>17</v>
      </c>
      <c r="K28" s="17">
        <v>25000</v>
      </c>
      <c r="L28" s="18">
        <v>0.3276</v>
      </c>
      <c r="M28" s="19">
        <f t="shared" si="1"/>
        <v>1638000</v>
      </c>
      <c r="N28" s="20">
        <f>1106820+25000</f>
        <v>1131820</v>
      </c>
    </row>
    <row r="29" spans="1:14" s="22" customFormat="1" x14ac:dyDescent="0.25">
      <c r="A29" s="11">
        <v>43004</v>
      </c>
      <c r="B29" s="12">
        <v>1416</v>
      </c>
      <c r="C29" s="13">
        <f t="shared" si="0"/>
        <v>0.67985717743887675</v>
      </c>
      <c r="D29" s="14" t="s">
        <v>78</v>
      </c>
      <c r="E29" s="15">
        <v>3</v>
      </c>
      <c r="F29" s="15" t="s">
        <v>204</v>
      </c>
      <c r="G29" s="15" t="s">
        <v>205</v>
      </c>
      <c r="H29" s="16">
        <v>43105</v>
      </c>
      <c r="I29" s="11">
        <v>43388</v>
      </c>
      <c r="J29" s="15" t="s">
        <v>48</v>
      </c>
      <c r="K29" s="17">
        <v>15000</v>
      </c>
      <c r="L29" s="18">
        <v>0.55079999999999996</v>
      </c>
      <c r="M29" s="19">
        <f t="shared" si="1"/>
        <v>1652400</v>
      </c>
      <c r="N29" s="20">
        <f>1108396+15000</f>
        <v>1123396</v>
      </c>
    </row>
    <row r="30" spans="1:14" s="22" customFormat="1" x14ac:dyDescent="0.25">
      <c r="A30" s="11">
        <v>43004</v>
      </c>
      <c r="B30" s="12">
        <v>1441</v>
      </c>
      <c r="C30" s="13">
        <f t="shared" si="0"/>
        <v>0.68935089886098533</v>
      </c>
      <c r="D30" s="14" t="s">
        <v>34</v>
      </c>
      <c r="E30" s="15">
        <v>5</v>
      </c>
      <c r="F30" s="15" t="s">
        <v>206</v>
      </c>
      <c r="G30" s="15" t="s">
        <v>207</v>
      </c>
      <c r="H30" s="16">
        <v>43105</v>
      </c>
      <c r="I30" s="11"/>
      <c r="J30" s="15" t="s">
        <v>17</v>
      </c>
      <c r="K30" s="17">
        <v>20000</v>
      </c>
      <c r="L30" s="18">
        <v>0.36435000000000001</v>
      </c>
      <c r="M30" s="19">
        <f t="shared" si="1"/>
        <v>1821750</v>
      </c>
      <c r="N30" s="20">
        <f>1235825+20000</f>
        <v>1255825</v>
      </c>
    </row>
    <row r="31" spans="1:14" s="22" customFormat="1" x14ac:dyDescent="0.25">
      <c r="A31" s="11">
        <v>43004</v>
      </c>
      <c r="B31" s="12">
        <v>1442</v>
      </c>
      <c r="C31" s="13">
        <f t="shared" si="0"/>
        <v>0.68920529165809852</v>
      </c>
      <c r="D31" s="14" t="s">
        <v>40</v>
      </c>
      <c r="E31" s="15">
        <v>5</v>
      </c>
      <c r="F31" s="15" t="s">
        <v>208</v>
      </c>
      <c r="G31" s="15" t="s">
        <v>209</v>
      </c>
      <c r="H31" s="16">
        <v>43105</v>
      </c>
      <c r="I31" s="11">
        <v>43403</v>
      </c>
      <c r="J31" s="15" t="s">
        <v>21</v>
      </c>
      <c r="K31" s="17">
        <v>8888</v>
      </c>
      <c r="L31" s="18">
        <v>0.36472500000000002</v>
      </c>
      <c r="M31" s="19">
        <f t="shared" si="1"/>
        <v>1823625</v>
      </c>
      <c r="N31" s="20">
        <f>1247964+8888</f>
        <v>1256852</v>
      </c>
    </row>
    <row r="32" spans="1:14" s="22" customFormat="1" x14ac:dyDescent="0.25">
      <c r="A32" s="11">
        <v>42850</v>
      </c>
      <c r="B32" s="12">
        <v>1393</v>
      </c>
      <c r="C32" s="13">
        <f t="shared" si="0"/>
        <v>0.69835784313725491</v>
      </c>
      <c r="D32" s="14" t="s">
        <v>14</v>
      </c>
      <c r="E32" s="23">
        <v>10</v>
      </c>
      <c r="F32" s="15" t="s">
        <v>210</v>
      </c>
      <c r="G32" s="15" t="s">
        <v>211</v>
      </c>
      <c r="H32" s="16">
        <v>43105</v>
      </c>
      <c r="I32" s="11">
        <v>43375</v>
      </c>
      <c r="J32" s="15" t="s">
        <v>29</v>
      </c>
      <c r="K32" s="17">
        <v>50000</v>
      </c>
      <c r="L32" s="18">
        <v>0.24479999999999999</v>
      </c>
      <c r="M32" s="19">
        <f t="shared" si="1"/>
        <v>2448000</v>
      </c>
      <c r="N32" s="20">
        <f>1659580+50000</f>
        <v>1709580</v>
      </c>
    </row>
    <row r="33" spans="1:14" s="22" customFormat="1" x14ac:dyDescent="0.25">
      <c r="A33" s="11">
        <v>42822</v>
      </c>
      <c r="B33" s="12">
        <v>1386</v>
      </c>
      <c r="C33" s="13">
        <f t="shared" si="0"/>
        <v>0.6208562091503268</v>
      </c>
      <c r="D33" s="14" t="s">
        <v>30</v>
      </c>
      <c r="E33" s="15">
        <v>1</v>
      </c>
      <c r="F33" s="15" t="s">
        <v>212</v>
      </c>
      <c r="G33" s="15" t="s">
        <v>213</v>
      </c>
      <c r="H33" s="16">
        <v>43133</v>
      </c>
      <c r="I33" s="11"/>
      <c r="J33" s="15" t="s">
        <v>173</v>
      </c>
      <c r="K33" s="17">
        <v>500</v>
      </c>
      <c r="L33" s="18">
        <v>0.61199999999999999</v>
      </c>
      <c r="M33" s="19">
        <f t="shared" si="1"/>
        <v>612000</v>
      </c>
      <c r="N33" s="20">
        <f>379464+500</f>
        <v>379964</v>
      </c>
    </row>
    <row r="34" spans="1:14" x14ac:dyDescent="0.25">
      <c r="A34" s="16">
        <v>42731</v>
      </c>
      <c r="B34" s="31">
        <v>1387</v>
      </c>
      <c r="C34" s="13">
        <f t="shared" ref="C34:C61" si="2">+N34/M34</f>
        <v>0.6398042109405746</v>
      </c>
      <c r="D34" s="28" t="s">
        <v>64</v>
      </c>
      <c r="E34" s="29">
        <v>2</v>
      </c>
      <c r="F34" s="29" t="s">
        <v>214</v>
      </c>
      <c r="G34" s="29" t="s">
        <v>215</v>
      </c>
      <c r="H34" s="16">
        <v>43133</v>
      </c>
      <c r="I34" s="16"/>
      <c r="J34" s="29" t="s">
        <v>216</v>
      </c>
      <c r="K34" s="21">
        <v>5000</v>
      </c>
      <c r="L34" s="30">
        <v>0.50819999999999999</v>
      </c>
      <c r="M34" s="19">
        <f t="shared" ref="M34:M65" si="3">(L34*1000000)*E34</f>
        <v>1016400</v>
      </c>
      <c r="N34" s="20">
        <f>645297+5000</f>
        <v>650297</v>
      </c>
    </row>
    <row r="35" spans="1:14" x14ac:dyDescent="0.25">
      <c r="A35" s="16">
        <v>42850</v>
      </c>
      <c r="B35" s="31">
        <v>1389</v>
      </c>
      <c r="C35" s="13">
        <f t="shared" si="2"/>
        <v>0.63920814479638011</v>
      </c>
      <c r="D35" s="28" t="s">
        <v>34</v>
      </c>
      <c r="E35" s="29">
        <v>2</v>
      </c>
      <c r="F35" s="29" t="s">
        <v>217</v>
      </c>
      <c r="G35" s="29" t="s">
        <v>75</v>
      </c>
      <c r="H35" s="16">
        <v>43133</v>
      </c>
      <c r="I35" s="16"/>
      <c r="J35" s="29" t="s">
        <v>218</v>
      </c>
      <c r="K35" s="21">
        <v>7500</v>
      </c>
      <c r="L35" s="30">
        <v>0.50829999999999997</v>
      </c>
      <c r="M35" s="19">
        <f t="shared" si="3"/>
        <v>1016600</v>
      </c>
      <c r="N35" s="20">
        <f>642319+7500</f>
        <v>649819</v>
      </c>
    </row>
    <row r="36" spans="1:14" s="22" customFormat="1" x14ac:dyDescent="0.25">
      <c r="A36" s="11">
        <v>43032</v>
      </c>
      <c r="B36" s="12">
        <v>1419</v>
      </c>
      <c r="C36" s="13">
        <f t="shared" si="2"/>
        <v>0.67962009803921564</v>
      </c>
      <c r="D36" s="14" t="s">
        <v>78</v>
      </c>
      <c r="E36" s="15">
        <v>3</v>
      </c>
      <c r="F36" s="15" t="s">
        <v>219</v>
      </c>
      <c r="G36" s="15" t="s">
        <v>220</v>
      </c>
      <c r="H36" s="16">
        <v>43133</v>
      </c>
      <c r="I36" s="11">
        <v>43440</v>
      </c>
      <c r="J36" s="15" t="s">
        <v>221</v>
      </c>
      <c r="K36" s="17">
        <v>10000</v>
      </c>
      <c r="L36" s="18">
        <v>0.48959999999999998</v>
      </c>
      <c r="M36" s="19">
        <f t="shared" si="3"/>
        <v>1468800</v>
      </c>
      <c r="N36" s="20">
        <f>988226+10000</f>
        <v>998226</v>
      </c>
    </row>
    <row r="37" spans="1:14" s="22" customFormat="1" x14ac:dyDescent="0.25">
      <c r="A37" s="11">
        <v>43097</v>
      </c>
      <c r="B37" s="12">
        <v>1448</v>
      </c>
      <c r="C37" s="13">
        <f t="shared" si="2"/>
        <v>0.68963507625272336</v>
      </c>
      <c r="D37" s="14" t="s">
        <v>14</v>
      </c>
      <c r="E37" s="15">
        <v>5</v>
      </c>
      <c r="F37" s="15" t="s">
        <v>222</v>
      </c>
      <c r="G37" s="15" t="s">
        <v>132</v>
      </c>
      <c r="H37" s="16">
        <v>43133</v>
      </c>
      <c r="I37" s="11">
        <v>43375</v>
      </c>
      <c r="J37" s="15" t="s">
        <v>55</v>
      </c>
      <c r="K37" s="17">
        <v>20000</v>
      </c>
      <c r="L37" s="18">
        <v>0.36720000000000003</v>
      </c>
      <c r="M37" s="19">
        <f t="shared" si="3"/>
        <v>1836000</v>
      </c>
      <c r="N37" s="20">
        <f>1246170+20000</f>
        <v>1266170</v>
      </c>
    </row>
    <row r="38" spans="1:14" s="22" customFormat="1" x14ac:dyDescent="0.25">
      <c r="A38" s="11">
        <v>43097</v>
      </c>
      <c r="B38" s="12">
        <v>1447</v>
      </c>
      <c r="C38" s="13">
        <f t="shared" si="2"/>
        <v>0.68952772073921975</v>
      </c>
      <c r="D38" s="14" t="s">
        <v>14</v>
      </c>
      <c r="E38" s="15">
        <v>5</v>
      </c>
      <c r="F38" s="15" t="s">
        <v>223</v>
      </c>
      <c r="G38" s="15" t="s">
        <v>160</v>
      </c>
      <c r="H38" s="16">
        <v>43133</v>
      </c>
      <c r="I38" s="11">
        <v>43452</v>
      </c>
      <c r="J38" s="15" t="s">
        <v>17</v>
      </c>
      <c r="K38" s="17">
        <v>25000</v>
      </c>
      <c r="L38" s="18">
        <v>0.36525000000000002</v>
      </c>
      <c r="M38" s="19">
        <f t="shared" si="3"/>
        <v>1826250</v>
      </c>
      <c r="N38" s="20">
        <f>1234250+25000</f>
        <v>1259250</v>
      </c>
    </row>
    <row r="39" spans="1:14" s="22" customFormat="1" x14ac:dyDescent="0.25">
      <c r="A39" s="11">
        <v>43032</v>
      </c>
      <c r="B39" s="12">
        <v>1444</v>
      </c>
      <c r="C39" s="13">
        <f t="shared" si="2"/>
        <v>0.68842592592592589</v>
      </c>
      <c r="D39" s="14" t="s">
        <v>34</v>
      </c>
      <c r="E39" s="15">
        <v>5</v>
      </c>
      <c r="F39" s="15" t="s">
        <v>224</v>
      </c>
      <c r="G39" s="15" t="s">
        <v>73</v>
      </c>
      <c r="H39" s="16">
        <v>43133</v>
      </c>
      <c r="I39" s="11"/>
      <c r="J39" s="15" t="s">
        <v>191</v>
      </c>
      <c r="K39" s="17">
        <v>3000</v>
      </c>
      <c r="L39" s="18">
        <v>0.36720000000000003</v>
      </c>
      <c r="M39" s="19">
        <f t="shared" si="3"/>
        <v>1836000</v>
      </c>
      <c r="N39" s="20">
        <f>1260950+3000</f>
        <v>1263950</v>
      </c>
    </row>
    <row r="40" spans="1:14" s="22" customFormat="1" x14ac:dyDescent="0.25">
      <c r="A40" s="11">
        <v>42976</v>
      </c>
      <c r="B40" s="12">
        <v>1424</v>
      </c>
      <c r="C40" s="13">
        <f t="shared" si="2"/>
        <v>0.69855542216886757</v>
      </c>
      <c r="D40" s="14" t="s">
        <v>34</v>
      </c>
      <c r="E40" s="23">
        <v>10</v>
      </c>
      <c r="F40" s="15" t="s">
        <v>225</v>
      </c>
      <c r="G40" s="15" t="s">
        <v>226</v>
      </c>
      <c r="H40" s="16">
        <v>43133</v>
      </c>
      <c r="I40" s="11"/>
      <c r="J40" s="15" t="s">
        <v>17</v>
      </c>
      <c r="K40" s="17">
        <v>50000</v>
      </c>
      <c r="L40" s="18">
        <v>0.24990000000000001</v>
      </c>
      <c r="M40" s="19">
        <f t="shared" si="3"/>
        <v>2499000</v>
      </c>
      <c r="N40" s="20">
        <f>1695690+50000</f>
        <v>1745690</v>
      </c>
    </row>
    <row r="41" spans="1:14" s="22" customFormat="1" x14ac:dyDescent="0.25">
      <c r="A41" s="11">
        <v>43067</v>
      </c>
      <c r="B41" s="12">
        <v>1445</v>
      </c>
      <c r="C41" s="13">
        <f t="shared" si="2"/>
        <v>0.7365386710239652</v>
      </c>
      <c r="D41" s="14" t="s">
        <v>14</v>
      </c>
      <c r="E41" s="24">
        <v>20</v>
      </c>
      <c r="F41" s="15" t="s">
        <v>227</v>
      </c>
      <c r="G41" s="15" t="s">
        <v>135</v>
      </c>
      <c r="H41" s="16">
        <v>43133</v>
      </c>
      <c r="I41" s="11">
        <v>43440</v>
      </c>
      <c r="J41" s="15" t="s">
        <v>55</v>
      </c>
      <c r="K41" s="17">
        <v>150000</v>
      </c>
      <c r="L41" s="18">
        <v>0.18360000000000001</v>
      </c>
      <c r="M41" s="19">
        <f t="shared" si="3"/>
        <v>3672000</v>
      </c>
      <c r="N41" s="20">
        <f>2554570+150000</f>
        <v>2704570</v>
      </c>
    </row>
    <row r="42" spans="1:14" s="22" customFormat="1" x14ac:dyDescent="0.25">
      <c r="A42" s="11">
        <v>42822</v>
      </c>
      <c r="B42" s="12">
        <v>1385</v>
      </c>
      <c r="C42" s="13">
        <f t="shared" si="2"/>
        <v>0.62005555555555558</v>
      </c>
      <c r="D42" s="14" t="s">
        <v>228</v>
      </c>
      <c r="E42" s="15">
        <v>1</v>
      </c>
      <c r="F42" s="15" t="s">
        <v>229</v>
      </c>
      <c r="G42" s="15" t="s">
        <v>203</v>
      </c>
      <c r="H42" s="16">
        <v>43161</v>
      </c>
      <c r="I42" s="11"/>
      <c r="J42" s="15" t="s">
        <v>33</v>
      </c>
      <c r="K42" s="17">
        <v>900</v>
      </c>
      <c r="L42" s="18">
        <v>0.61199999999999999</v>
      </c>
      <c r="M42" s="19">
        <f t="shared" si="3"/>
        <v>612000</v>
      </c>
      <c r="N42" s="20">
        <f>378574+900</f>
        <v>379474</v>
      </c>
    </row>
    <row r="43" spans="1:14" s="22" customFormat="1" x14ac:dyDescent="0.25">
      <c r="A43" s="11">
        <v>43004</v>
      </c>
      <c r="B43" s="12">
        <v>1407</v>
      </c>
      <c r="C43" s="13">
        <f t="shared" si="2"/>
        <v>0.619187908496732</v>
      </c>
      <c r="D43" s="14" t="s">
        <v>14</v>
      </c>
      <c r="E43" s="15">
        <v>1</v>
      </c>
      <c r="F43" s="15" t="s">
        <v>230</v>
      </c>
      <c r="G43" s="15" t="s">
        <v>168</v>
      </c>
      <c r="H43" s="16">
        <v>43161</v>
      </c>
      <c r="I43" s="11"/>
      <c r="J43" s="15" t="s">
        <v>231</v>
      </c>
      <c r="K43" s="17">
        <v>1500</v>
      </c>
      <c r="L43" s="18">
        <v>0.61199999999999999</v>
      </c>
      <c r="M43" s="25">
        <f t="shared" si="3"/>
        <v>612000</v>
      </c>
      <c r="N43" s="20">
        <f>377443+1500</f>
        <v>378943</v>
      </c>
    </row>
    <row r="44" spans="1:14" x14ac:dyDescent="0.25">
      <c r="A44" s="16">
        <v>42850</v>
      </c>
      <c r="B44" s="31">
        <v>1390</v>
      </c>
      <c r="C44" s="13">
        <f t="shared" si="2"/>
        <v>0.63935392156862747</v>
      </c>
      <c r="D44" s="28" t="s">
        <v>40</v>
      </c>
      <c r="E44" s="29">
        <v>2</v>
      </c>
      <c r="F44" s="29" t="s">
        <v>232</v>
      </c>
      <c r="G44" s="29" t="s">
        <v>73</v>
      </c>
      <c r="H44" s="16">
        <v>43161</v>
      </c>
      <c r="I44" s="16"/>
      <c r="J44" s="29" t="s">
        <v>233</v>
      </c>
      <c r="K44" s="21">
        <v>5000</v>
      </c>
      <c r="L44" s="30">
        <v>0.51</v>
      </c>
      <c r="M44" s="19">
        <f t="shared" si="3"/>
        <v>1020000</v>
      </c>
      <c r="N44" s="20">
        <f>647141+5000</f>
        <v>652141</v>
      </c>
    </row>
    <row r="45" spans="1:14" s="22" customFormat="1" x14ac:dyDescent="0.25">
      <c r="A45" s="11">
        <v>43067</v>
      </c>
      <c r="B45" s="12">
        <v>1417</v>
      </c>
      <c r="C45" s="13">
        <f t="shared" si="2"/>
        <v>0.67981749422013993</v>
      </c>
      <c r="D45" s="14" t="s">
        <v>78</v>
      </c>
      <c r="E45" s="15">
        <v>3</v>
      </c>
      <c r="F45" s="15" t="s">
        <v>234</v>
      </c>
      <c r="G45" s="15" t="s">
        <v>235</v>
      </c>
      <c r="H45" s="16">
        <v>43161</v>
      </c>
      <c r="I45" s="11">
        <v>43381</v>
      </c>
      <c r="J45" s="15" t="s">
        <v>48</v>
      </c>
      <c r="K45" s="17">
        <v>15000</v>
      </c>
      <c r="L45" s="18">
        <v>0.54427499999999995</v>
      </c>
      <c r="M45" s="19">
        <f t="shared" si="3"/>
        <v>1632825</v>
      </c>
      <c r="N45" s="20">
        <f>1095023+15000</f>
        <v>1110023</v>
      </c>
    </row>
    <row r="46" spans="1:14" s="22" customFormat="1" x14ac:dyDescent="0.25">
      <c r="A46" s="11">
        <v>43123</v>
      </c>
      <c r="B46" s="12">
        <v>1449</v>
      </c>
      <c r="C46" s="13">
        <f t="shared" si="2"/>
        <v>0.69194055555555556</v>
      </c>
      <c r="D46" s="14" t="s">
        <v>14</v>
      </c>
      <c r="E46" s="15">
        <v>5</v>
      </c>
      <c r="F46" s="15" t="s">
        <v>236</v>
      </c>
      <c r="G46" s="15" t="s">
        <v>237</v>
      </c>
      <c r="H46" s="16">
        <v>43161</v>
      </c>
      <c r="I46" s="11">
        <v>43452</v>
      </c>
      <c r="J46" s="15" t="s">
        <v>200</v>
      </c>
      <c r="K46" s="17">
        <v>10000</v>
      </c>
      <c r="L46" s="18">
        <v>0.36</v>
      </c>
      <c r="M46" s="19">
        <f t="shared" si="3"/>
        <v>1800000</v>
      </c>
      <c r="N46" s="20">
        <f>1231000+14493</f>
        <v>1245493</v>
      </c>
    </row>
    <row r="47" spans="1:14" s="22" customFormat="1" x14ac:dyDescent="0.25">
      <c r="A47" s="11">
        <v>43123</v>
      </c>
      <c r="B47" s="12">
        <v>1450</v>
      </c>
      <c r="C47" s="13">
        <f t="shared" si="2"/>
        <v>0.69029239766081874</v>
      </c>
      <c r="D47" s="14" t="s">
        <v>14</v>
      </c>
      <c r="E47" s="15">
        <v>5</v>
      </c>
      <c r="F47" s="15" t="s">
        <v>238</v>
      </c>
      <c r="G47" s="15" t="s">
        <v>239</v>
      </c>
      <c r="H47" s="16">
        <v>43161</v>
      </c>
      <c r="I47" s="11"/>
      <c r="J47" s="15" t="s">
        <v>200</v>
      </c>
      <c r="K47" s="17">
        <v>500</v>
      </c>
      <c r="L47" s="18">
        <v>0.354825</v>
      </c>
      <c r="M47" s="19">
        <f t="shared" si="3"/>
        <v>1774125</v>
      </c>
      <c r="N47" s="20">
        <f>1224165+500</f>
        <v>1224665</v>
      </c>
    </row>
    <row r="48" spans="1:14" s="22" customFormat="1" x14ac:dyDescent="0.25">
      <c r="A48" s="11">
        <v>43097</v>
      </c>
      <c r="B48" s="12">
        <v>1405</v>
      </c>
      <c r="C48" s="13">
        <f t="shared" si="2"/>
        <v>0.62012106339468298</v>
      </c>
      <c r="D48" s="14" t="s">
        <v>14</v>
      </c>
      <c r="E48" s="15">
        <v>1</v>
      </c>
      <c r="F48" s="15" t="s">
        <v>240</v>
      </c>
      <c r="G48" s="15" t="s">
        <v>241</v>
      </c>
      <c r="H48" s="16">
        <v>43196</v>
      </c>
      <c r="I48" s="11"/>
      <c r="J48" s="15" t="s">
        <v>191</v>
      </c>
      <c r="K48" s="17">
        <v>500</v>
      </c>
      <c r="L48" s="18">
        <v>0.61124999999999996</v>
      </c>
      <c r="M48" s="25">
        <f t="shared" si="3"/>
        <v>611250</v>
      </c>
      <c r="N48" s="20">
        <f>378549+500</f>
        <v>379049</v>
      </c>
    </row>
    <row r="49" spans="1:14" s="22" customFormat="1" x14ac:dyDescent="0.25">
      <c r="A49" s="11">
        <v>43067</v>
      </c>
      <c r="B49" s="12">
        <v>1410</v>
      </c>
      <c r="C49" s="13">
        <f t="shared" si="2"/>
        <v>0.63906470588235298</v>
      </c>
      <c r="D49" s="14" t="s">
        <v>14</v>
      </c>
      <c r="E49" s="15">
        <v>2</v>
      </c>
      <c r="F49" s="15" t="s">
        <v>242</v>
      </c>
      <c r="G49" s="15" t="s">
        <v>243</v>
      </c>
      <c r="H49" s="16">
        <v>43196</v>
      </c>
      <c r="I49" s="11"/>
      <c r="J49" s="15" t="s">
        <v>244</v>
      </c>
      <c r="K49" s="17">
        <v>5000</v>
      </c>
      <c r="L49" s="18">
        <v>0.51</v>
      </c>
      <c r="M49" s="25">
        <f t="shared" si="3"/>
        <v>1020000</v>
      </c>
      <c r="N49" s="20">
        <f>646846+5000</f>
        <v>651846</v>
      </c>
    </row>
    <row r="50" spans="1:14" s="22" customFormat="1" x14ac:dyDescent="0.25">
      <c r="A50" s="11">
        <v>43032</v>
      </c>
      <c r="B50" s="12">
        <v>1443</v>
      </c>
      <c r="C50" s="13">
        <f t="shared" si="2"/>
        <v>0.68874727668845315</v>
      </c>
      <c r="D50" s="14" t="s">
        <v>14</v>
      </c>
      <c r="E50" s="15">
        <v>5</v>
      </c>
      <c r="F50" s="15" t="s">
        <v>245</v>
      </c>
      <c r="G50" s="15" t="s">
        <v>246</v>
      </c>
      <c r="H50" s="16">
        <v>43196</v>
      </c>
      <c r="I50" s="11"/>
      <c r="J50" s="15" t="s">
        <v>29</v>
      </c>
      <c r="K50" s="17">
        <v>25000</v>
      </c>
      <c r="L50" s="18">
        <v>0.36720000000000003</v>
      </c>
      <c r="M50" s="19">
        <f t="shared" si="3"/>
        <v>1836000</v>
      </c>
      <c r="N50" s="20">
        <f>1239540+25000</f>
        <v>1264540</v>
      </c>
    </row>
    <row r="51" spans="1:14" s="22" customFormat="1" x14ac:dyDescent="0.25">
      <c r="A51" s="11">
        <v>43158</v>
      </c>
      <c r="B51" s="12">
        <v>1453</v>
      </c>
      <c r="C51" s="13">
        <f t="shared" si="2"/>
        <v>0.68938671023965137</v>
      </c>
      <c r="D51" s="14" t="s">
        <v>40</v>
      </c>
      <c r="E51" s="15">
        <v>5</v>
      </c>
      <c r="F51" s="15" t="s">
        <v>247</v>
      </c>
      <c r="G51" s="15" t="s">
        <v>248</v>
      </c>
      <c r="H51" s="16">
        <v>43196</v>
      </c>
      <c r="I51" s="11"/>
      <c r="J51" s="15" t="s">
        <v>21</v>
      </c>
      <c r="K51" s="17">
        <v>7000</v>
      </c>
      <c r="L51" s="18">
        <v>0.36720000000000003</v>
      </c>
      <c r="M51" s="19">
        <f t="shared" si="3"/>
        <v>1836000</v>
      </c>
      <c r="N51" s="20">
        <f>1258714+7000</f>
        <v>1265714</v>
      </c>
    </row>
    <row r="52" spans="1:14" s="22" customFormat="1" x14ac:dyDescent="0.25">
      <c r="A52" s="11">
        <v>43067</v>
      </c>
      <c r="B52" s="12">
        <v>1427</v>
      </c>
      <c r="C52" s="13">
        <f t="shared" si="2"/>
        <v>0.69773939904521198</v>
      </c>
      <c r="D52" s="14" t="s">
        <v>14</v>
      </c>
      <c r="E52" s="23">
        <v>10</v>
      </c>
      <c r="F52" s="15" t="s">
        <v>249</v>
      </c>
      <c r="G52" s="15" t="s">
        <v>71</v>
      </c>
      <c r="H52" s="16">
        <v>43196</v>
      </c>
      <c r="I52" s="11"/>
      <c r="J52" s="15" t="s">
        <v>29</v>
      </c>
      <c r="K52" s="17">
        <v>50000</v>
      </c>
      <c r="L52" s="18">
        <v>0.24926999999999999</v>
      </c>
      <c r="M52" s="19">
        <f t="shared" si="3"/>
        <v>2492700</v>
      </c>
      <c r="N52" s="20">
        <f>1689255+50000</f>
        <v>1739255</v>
      </c>
    </row>
    <row r="53" spans="1:14" s="22" customFormat="1" x14ac:dyDescent="0.25">
      <c r="A53" s="11">
        <v>43097</v>
      </c>
      <c r="B53" s="12">
        <v>1411</v>
      </c>
      <c r="C53" s="13">
        <f t="shared" si="2"/>
        <v>0.63978852263701347</v>
      </c>
      <c r="D53" s="14" t="s">
        <v>14</v>
      </c>
      <c r="E53" s="15">
        <v>2</v>
      </c>
      <c r="F53" s="15" t="s">
        <v>250</v>
      </c>
      <c r="G53" s="15" t="s">
        <v>251</v>
      </c>
      <c r="H53" s="16">
        <v>43224</v>
      </c>
      <c r="I53" s="11"/>
      <c r="J53" s="15" t="s">
        <v>17</v>
      </c>
      <c r="K53" s="17">
        <v>5000</v>
      </c>
      <c r="L53" s="18">
        <v>0.50360000000000005</v>
      </c>
      <c r="M53" s="19">
        <f t="shared" si="3"/>
        <v>1007200.0000000001</v>
      </c>
      <c r="N53" s="20">
        <f>639395+5000</f>
        <v>644395</v>
      </c>
    </row>
    <row r="54" spans="1:14" s="22" customFormat="1" x14ac:dyDescent="0.25">
      <c r="A54" s="11">
        <v>43158</v>
      </c>
      <c r="B54" s="12">
        <v>1432</v>
      </c>
      <c r="C54" s="13">
        <f t="shared" si="2"/>
        <v>0.67864379084967319</v>
      </c>
      <c r="D54" s="14" t="s">
        <v>78</v>
      </c>
      <c r="E54" s="15">
        <v>3</v>
      </c>
      <c r="F54" s="15" t="s">
        <v>252</v>
      </c>
      <c r="G54" s="15" t="s">
        <v>253</v>
      </c>
      <c r="H54" s="16">
        <v>43224</v>
      </c>
      <c r="I54" s="11"/>
      <c r="J54" s="15" t="s">
        <v>254</v>
      </c>
      <c r="K54" s="17">
        <v>15000</v>
      </c>
      <c r="L54" s="18">
        <v>0.48959999999999998</v>
      </c>
      <c r="M54" s="19">
        <f t="shared" si="3"/>
        <v>1468800</v>
      </c>
      <c r="N54" s="20">
        <f>981792+15000</f>
        <v>996792</v>
      </c>
    </row>
    <row r="55" spans="1:14" s="22" customFormat="1" x14ac:dyDescent="0.25">
      <c r="A55" s="11">
        <v>43123</v>
      </c>
      <c r="B55" s="12">
        <v>1451</v>
      </c>
      <c r="C55" s="13">
        <f t="shared" si="2"/>
        <v>0.6906012745912995</v>
      </c>
      <c r="D55" s="14" t="s">
        <v>14</v>
      </c>
      <c r="E55" s="15">
        <v>5</v>
      </c>
      <c r="F55" s="15" t="s">
        <v>255</v>
      </c>
      <c r="G55" s="15" t="s">
        <v>256</v>
      </c>
      <c r="H55" s="16">
        <v>43224</v>
      </c>
      <c r="I55" s="11"/>
      <c r="J55" s="15" t="s">
        <v>88</v>
      </c>
      <c r="K55" s="17">
        <v>10000</v>
      </c>
      <c r="L55" s="18">
        <v>0.3609</v>
      </c>
      <c r="M55" s="19">
        <f t="shared" si="3"/>
        <v>1804500</v>
      </c>
      <c r="N55" s="20">
        <f>1236190+10000</f>
        <v>1246190</v>
      </c>
    </row>
    <row r="56" spans="1:14" s="22" customFormat="1" x14ac:dyDescent="0.25">
      <c r="A56" s="11">
        <v>43186</v>
      </c>
      <c r="B56" s="12">
        <v>1456</v>
      </c>
      <c r="C56" s="13">
        <f t="shared" si="2"/>
        <v>0.70166066426570628</v>
      </c>
      <c r="D56" s="14" t="s">
        <v>14</v>
      </c>
      <c r="E56" s="23">
        <v>10</v>
      </c>
      <c r="F56" s="15" t="s">
        <v>126</v>
      </c>
      <c r="G56" s="15" t="s">
        <v>73</v>
      </c>
      <c r="H56" s="16">
        <v>43224</v>
      </c>
      <c r="I56" s="11">
        <v>43460</v>
      </c>
      <c r="J56" s="15" t="s">
        <v>257</v>
      </c>
      <c r="K56" s="17">
        <v>100</v>
      </c>
      <c r="L56" s="18">
        <v>0.24990000000000001</v>
      </c>
      <c r="M56" s="19">
        <f t="shared" si="3"/>
        <v>2499000</v>
      </c>
      <c r="N56" s="20">
        <v>1753450</v>
      </c>
    </row>
    <row r="57" spans="1:14" s="22" customFormat="1" x14ac:dyDescent="0.25">
      <c r="A57" s="11">
        <v>43186</v>
      </c>
      <c r="B57" s="12">
        <v>1440</v>
      </c>
      <c r="C57" s="13">
        <f t="shared" si="2"/>
        <v>0.67912490922294844</v>
      </c>
      <c r="D57" s="14" t="s">
        <v>48</v>
      </c>
      <c r="E57" s="15">
        <v>3</v>
      </c>
      <c r="F57" s="15" t="s">
        <v>258</v>
      </c>
      <c r="G57" s="15" t="s">
        <v>259</v>
      </c>
      <c r="H57" s="16">
        <v>43259</v>
      </c>
      <c r="I57" s="11"/>
      <c r="J57" s="15" t="s">
        <v>48</v>
      </c>
      <c r="K57" s="17">
        <v>10000</v>
      </c>
      <c r="L57" s="18">
        <v>0.55079999999999996</v>
      </c>
      <c r="M57" s="19">
        <f t="shared" si="3"/>
        <v>1652400</v>
      </c>
      <c r="N57" s="20">
        <f>1112186+10000</f>
        <v>1122186</v>
      </c>
    </row>
    <row r="58" spans="1:14" s="22" customFormat="1" x14ac:dyDescent="0.25">
      <c r="A58" s="11">
        <v>43214</v>
      </c>
      <c r="B58" s="12">
        <v>1461</v>
      </c>
      <c r="C58" s="13">
        <f t="shared" si="2"/>
        <v>0.69036906440996704</v>
      </c>
      <c r="D58" s="14" t="s">
        <v>48</v>
      </c>
      <c r="E58" s="15">
        <v>5</v>
      </c>
      <c r="F58" s="15" t="s">
        <v>260</v>
      </c>
      <c r="G58" s="15" t="s">
        <v>87</v>
      </c>
      <c r="H58" s="16">
        <v>43259</v>
      </c>
      <c r="I58" s="11"/>
      <c r="J58" s="15" t="s">
        <v>51</v>
      </c>
      <c r="K58" s="17">
        <v>20000</v>
      </c>
      <c r="L58" s="18">
        <v>0.4254</v>
      </c>
      <c r="M58" s="19">
        <f t="shared" si="3"/>
        <v>2127000</v>
      </c>
      <c r="N58" s="20">
        <f>1448415+20000</f>
        <v>1468415</v>
      </c>
    </row>
    <row r="59" spans="1:14" s="22" customFormat="1" x14ac:dyDescent="0.25">
      <c r="A59" s="11">
        <v>43186</v>
      </c>
      <c r="B59" s="12">
        <v>1454</v>
      </c>
      <c r="C59" s="13">
        <f t="shared" si="2"/>
        <v>0.69039473684210528</v>
      </c>
      <c r="D59" s="14" t="s">
        <v>14</v>
      </c>
      <c r="E59" s="15">
        <v>5</v>
      </c>
      <c r="F59" s="15" t="s">
        <v>261</v>
      </c>
      <c r="G59" s="15" t="s">
        <v>73</v>
      </c>
      <c r="H59" s="16">
        <v>43259</v>
      </c>
      <c r="I59" s="11"/>
      <c r="J59" s="15" t="s">
        <v>55</v>
      </c>
      <c r="K59" s="17">
        <v>20000</v>
      </c>
      <c r="L59" s="18">
        <v>0.36480000000000001</v>
      </c>
      <c r="M59" s="19">
        <f t="shared" si="3"/>
        <v>1824000</v>
      </c>
      <c r="N59" s="20">
        <f>1239280+20000</f>
        <v>1259280</v>
      </c>
    </row>
    <row r="60" spans="1:14" s="22" customFormat="1" x14ac:dyDescent="0.25">
      <c r="A60" s="11">
        <v>43214</v>
      </c>
      <c r="B60" s="12">
        <v>1455</v>
      </c>
      <c r="C60" s="13">
        <f t="shared" si="2"/>
        <v>0.69715686274509803</v>
      </c>
      <c r="D60" s="14" t="s">
        <v>14</v>
      </c>
      <c r="E60" s="23">
        <v>10</v>
      </c>
      <c r="F60" s="15" t="s">
        <v>262</v>
      </c>
      <c r="G60" s="15" t="s">
        <v>87</v>
      </c>
      <c r="H60" s="16">
        <v>43259</v>
      </c>
      <c r="I60" s="11"/>
      <c r="J60" s="15" t="s">
        <v>21</v>
      </c>
      <c r="K60" s="17">
        <v>60000</v>
      </c>
      <c r="L60" s="18">
        <v>0.24990000000000001</v>
      </c>
      <c r="M60" s="19">
        <f t="shared" si="3"/>
        <v>2499000</v>
      </c>
      <c r="N60" s="20">
        <f>1682195+60000</f>
        <v>1742195</v>
      </c>
    </row>
    <row r="61" spans="1:14" s="22" customFormat="1" x14ac:dyDescent="0.25">
      <c r="A61" s="11">
        <v>43186</v>
      </c>
      <c r="B61" s="12">
        <v>1459</v>
      </c>
      <c r="C61" s="13">
        <f t="shared" si="2"/>
        <v>0.73806154691578518</v>
      </c>
      <c r="D61" s="14" t="s">
        <v>14</v>
      </c>
      <c r="E61" s="24">
        <v>20</v>
      </c>
      <c r="F61" s="15" t="s">
        <v>263</v>
      </c>
      <c r="G61" s="15" t="s">
        <v>264</v>
      </c>
      <c r="H61" s="16">
        <v>43259</v>
      </c>
      <c r="I61" s="11"/>
      <c r="J61" s="15" t="s">
        <v>55</v>
      </c>
      <c r="K61" s="17">
        <v>50000</v>
      </c>
      <c r="L61" s="18">
        <v>0.181975</v>
      </c>
      <c r="M61" s="19">
        <f t="shared" si="3"/>
        <v>3639500</v>
      </c>
      <c r="N61" s="20">
        <f>2636175+50000</f>
        <v>2686175</v>
      </c>
    </row>
  </sheetData>
  <conditionalFormatting sqref="E1:E5 E10:E1048576">
    <cfRule type="cellIs" dxfId="39" priority="42" stopIfTrue="1" operator="equal">
      <formula>2</formula>
    </cfRule>
    <cfRule type="cellIs" dxfId="38" priority="43" stopIfTrue="1" operator="equal">
      <formula>3</formula>
    </cfRule>
    <cfRule type="cellIs" dxfId="37" priority="44" stopIfTrue="1" operator="equal">
      <formula>5</formula>
    </cfRule>
  </conditionalFormatting>
  <conditionalFormatting sqref="A2:A61">
    <cfRule type="cellIs" dxfId="36" priority="41" stopIfTrue="1" operator="greaterThan">
      <formula>NOW()</formula>
    </cfRule>
  </conditionalFormatting>
  <conditionalFormatting sqref="A17:A19">
    <cfRule type="cellIs" dxfId="35" priority="39" stopIfTrue="1" operator="greaterThan">
      <formula>NOW()</formula>
    </cfRule>
  </conditionalFormatting>
  <conditionalFormatting sqref="A49:A55">
    <cfRule type="cellIs" dxfId="34" priority="38" stopIfTrue="1" operator="greaterThan">
      <formula>NOW()</formula>
    </cfRule>
  </conditionalFormatting>
  <conditionalFormatting sqref="A45">
    <cfRule type="cellIs" dxfId="33" priority="37" stopIfTrue="1" operator="greaterThan">
      <formula>NOW()</formula>
    </cfRule>
  </conditionalFormatting>
  <conditionalFormatting sqref="A43:A45">
    <cfRule type="cellIs" dxfId="32" priority="36" stopIfTrue="1" operator="greaterThan">
      <formula>NOW()</formula>
    </cfRule>
  </conditionalFormatting>
  <conditionalFormatting sqref="A15">
    <cfRule type="cellIs" dxfId="31" priority="35" stopIfTrue="1" operator="greaterThan">
      <formula>NOW()</formula>
    </cfRule>
  </conditionalFormatting>
  <conditionalFormatting sqref="E52:E55">
    <cfRule type="cellIs" dxfId="30" priority="32" stopIfTrue="1" operator="equal">
      <formula>2</formula>
    </cfRule>
    <cfRule type="cellIs" dxfId="29" priority="33" stopIfTrue="1" operator="equal">
      <formula>3</formula>
    </cfRule>
    <cfRule type="cellIs" dxfId="28" priority="34" stopIfTrue="1" operator="equal">
      <formula>5</formula>
    </cfRule>
  </conditionalFormatting>
  <conditionalFormatting sqref="E19">
    <cfRule type="cellIs" dxfId="27" priority="29" stopIfTrue="1" operator="equal">
      <formula>2</formula>
    </cfRule>
    <cfRule type="cellIs" dxfId="26" priority="30" stopIfTrue="1" operator="equal">
      <formula>3</formula>
    </cfRule>
    <cfRule type="cellIs" dxfId="25" priority="31" stopIfTrue="1" operator="equal">
      <formula>5</formula>
    </cfRule>
  </conditionalFormatting>
  <conditionalFormatting sqref="E6">
    <cfRule type="cellIs" dxfId="24" priority="26" stopIfTrue="1" operator="equal">
      <formula>2</formula>
    </cfRule>
    <cfRule type="cellIs" dxfId="23" priority="27" stopIfTrue="1" operator="equal">
      <formula>3</formula>
    </cfRule>
    <cfRule type="cellIs" dxfId="22" priority="28" stopIfTrue="1" operator="equal">
      <formula>5</formula>
    </cfRule>
  </conditionalFormatting>
  <conditionalFormatting sqref="A22">
    <cfRule type="cellIs" dxfId="21" priority="25" stopIfTrue="1" operator="greaterThan">
      <formula>NOW()</formula>
    </cfRule>
  </conditionalFormatting>
  <conditionalFormatting sqref="E41:E61">
    <cfRule type="cellIs" dxfId="20" priority="22" stopIfTrue="1" operator="equal">
      <formula>2</formula>
    </cfRule>
    <cfRule type="cellIs" dxfId="19" priority="23" stopIfTrue="1" operator="equal">
      <formula>3</formula>
    </cfRule>
    <cfRule type="cellIs" dxfId="18" priority="24" stopIfTrue="1" operator="equal">
      <formula>5</formula>
    </cfRule>
  </conditionalFormatting>
  <conditionalFormatting sqref="A18">
    <cfRule type="cellIs" dxfId="17" priority="21" stopIfTrue="1" operator="greaterThan">
      <formula>NOW()</formula>
    </cfRule>
  </conditionalFormatting>
  <conditionalFormatting sqref="E7:E9">
    <cfRule type="cellIs" dxfId="16" priority="18" stopIfTrue="1" operator="equal">
      <formula>2</formula>
    </cfRule>
    <cfRule type="cellIs" dxfId="15" priority="19" stopIfTrue="1" operator="equal">
      <formula>3</formula>
    </cfRule>
    <cfRule type="cellIs" dxfId="14" priority="20" stopIfTrue="1" operator="equal">
      <formula>5</formula>
    </cfRule>
  </conditionalFormatting>
  <conditionalFormatting sqref="A7:A9">
    <cfRule type="cellIs" dxfId="13" priority="17" stopIfTrue="1" operator="greaterThan">
      <formula>NOW()</formula>
    </cfRule>
  </conditionalFormatting>
  <conditionalFormatting sqref="A43:A45">
    <cfRule type="cellIs" dxfId="12" priority="16" stopIfTrue="1" operator="greaterThan">
      <formula>NOW()</formula>
    </cfRule>
  </conditionalFormatting>
  <conditionalFormatting sqref="E61">
    <cfRule type="cellIs" dxfId="11" priority="13" stopIfTrue="1" operator="equal">
      <formula>2</formula>
    </cfRule>
    <cfRule type="cellIs" dxfId="10" priority="14" stopIfTrue="1" operator="equal">
      <formula>3</formula>
    </cfRule>
    <cfRule type="cellIs" dxfId="9" priority="15" stopIfTrue="1" operator="equal">
      <formula>5</formula>
    </cfRule>
  </conditionalFormatting>
  <conditionalFormatting sqref="E56:E59">
    <cfRule type="cellIs" dxfId="8" priority="10" stopIfTrue="1" operator="equal">
      <formula>2</formula>
    </cfRule>
    <cfRule type="cellIs" dxfId="7" priority="11" stopIfTrue="1" operator="equal">
      <formula>3</formula>
    </cfRule>
    <cfRule type="cellIs" dxfId="6" priority="12" stopIfTrue="1" operator="equal">
      <formula>5</formula>
    </cfRule>
  </conditionalFormatting>
  <conditionalFormatting sqref="E60:E61">
    <cfRule type="cellIs" dxfId="5" priority="7" stopIfTrue="1" operator="equal">
      <formula>2</formula>
    </cfRule>
    <cfRule type="cellIs" dxfId="4" priority="8" stopIfTrue="1" operator="equal">
      <formula>3</formula>
    </cfRule>
    <cfRule type="cellIs" dxfId="3" priority="9" stopIfTrue="1" operator="equal">
      <formula>5</formula>
    </cfRule>
  </conditionalFormatting>
  <conditionalFormatting sqref="E61">
    <cfRule type="cellIs" dxfId="2" priority="4" stopIfTrue="1" operator="equal">
      <formula>2</formula>
    </cfRule>
    <cfRule type="cellIs" dxfId="1" priority="5" stopIfTrue="1" operator="equal">
      <formula>3</formula>
    </cfRule>
    <cfRule type="cellIs" dxfId="0" priority="6" stopIfTrue="1" operator="equal">
      <formula>5</formula>
    </cfRule>
  </conditionalFormatting>
  <printOptions horizontalCentered="1"/>
  <pageMargins left="0.57999999999999996" right="0.65" top="1" bottom="0.79" header="0.5" footer="0.34"/>
  <pageSetup scale="78" fitToHeight="2" orientation="landscape" r:id="rId1"/>
  <headerFooter alignWithMargins="0">
    <oddHeader>&amp;C&amp;"Verdana,Bold"Vermont Lottery Game Schedule -- FY18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2019</vt:lpstr>
      <vt:lpstr>FY18</vt:lpstr>
      <vt:lpstr>'2019'!Print_Area</vt:lpstr>
      <vt:lpstr>'FY18'!Print_Area</vt:lpstr>
      <vt:lpstr>'2019'!Print_Titles</vt:lpstr>
      <vt:lpstr>'FY18'!Print_Titles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sylvia.buzzell</dc:creator>
  <cp:lastModifiedBy>sylvia.buzzell</cp:lastModifiedBy>
  <cp:lastPrinted>2019-01-03T15:28:43Z</cp:lastPrinted>
  <dcterms:created xsi:type="dcterms:W3CDTF">2019-01-03T14:58:17Z</dcterms:created>
  <dcterms:modified xsi:type="dcterms:W3CDTF">2019-01-03T15:29:19Z</dcterms:modified>
</cp:coreProperties>
</file>